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85"/>
  </bookViews>
  <sheets>
    <sheet name="INPUT CE" sheetId="2" r:id="rId1"/>
    <sheet name="Obiettivo programmato costo" sheetId="1" r:id="rId2"/>
    <sheet name="appoggio" sheetId="3" r:id="rId3"/>
  </sheets>
  <externalReferences>
    <externalReference r:id="rId4"/>
  </externalReferences>
  <definedNames>
    <definedName name="conti">'INPUT CE'!$B$8:$B$621</definedName>
    <definedName name="dd">#REF!</definedName>
    <definedName name="Ind_Ser">#REF!</definedName>
    <definedName name="NewTable0">#REF!</definedName>
    <definedName name="PosteR">[1]POSTE_R_SANITARIO!$A$6:$C$49</definedName>
    <definedName name="_xlnm.Print_Titles" localSheetId="0">'INPUT CE'!$6:$7</definedName>
  </definedNames>
  <calcPr calcId="162913"/>
</workbook>
</file>

<file path=xl/calcChain.xml><?xml version="1.0" encoding="utf-8"?>
<calcChain xmlns="http://schemas.openxmlformats.org/spreadsheetml/2006/main">
  <c r="G614" i="2" l="1"/>
  <c r="G618" i="2"/>
  <c r="G613" i="2"/>
  <c r="G612" i="2" s="1"/>
  <c r="G603" i="2"/>
  <c r="G600" i="2"/>
  <c r="G591" i="2"/>
  <c r="G589" i="2" s="1"/>
  <c r="G586" i="2"/>
  <c r="G571" i="2"/>
  <c r="G569" i="2" s="1"/>
  <c r="G561" i="2"/>
  <c r="G556" i="2" s="1"/>
  <c r="G558" i="2"/>
  <c r="G548" i="2"/>
  <c r="G545" i="2"/>
  <c r="G541" i="2"/>
  <c r="G535" i="2"/>
  <c r="G531" i="2"/>
  <c r="G519" i="2"/>
  <c r="G513" i="2"/>
  <c r="G510" i="2"/>
  <c r="G500" i="2" s="1"/>
  <c r="G501" i="2"/>
  <c r="G493" i="2"/>
  <c r="G484" i="2"/>
  <c r="G480" i="2"/>
  <c r="G478" i="2"/>
  <c r="G470" i="2"/>
  <c r="G469" i="2" s="1"/>
  <c r="G466" i="2"/>
  <c r="G463" i="2"/>
  <c r="G462" i="2" s="1"/>
  <c r="G453" i="2"/>
  <c r="G447" i="2"/>
  <c r="G444" i="2" s="1"/>
  <c r="G440" i="2"/>
  <c r="G436" i="2"/>
  <c r="G431" i="2"/>
  <c r="G426" i="2" s="1"/>
  <c r="G427" i="2"/>
  <c r="G422" i="2"/>
  <c r="G417" i="2" s="1"/>
  <c r="G418" i="2"/>
  <c r="G413" i="2"/>
  <c r="G409" i="2"/>
  <c r="G405" i="2"/>
  <c r="G404" i="2"/>
  <c r="G397" i="2"/>
  <c r="G394" i="2"/>
  <c r="G392" i="2" s="1"/>
  <c r="G384" i="2"/>
  <c r="G381" i="2"/>
  <c r="G377" i="2"/>
  <c r="G370" i="2"/>
  <c r="G367" i="2" s="1"/>
  <c r="G364" i="2"/>
  <c r="G361" i="2" s="1"/>
  <c r="G358" i="2"/>
  <c r="G348" i="2"/>
  <c r="G335" i="2"/>
  <c r="G333" i="2" s="1"/>
  <c r="G329" i="2" s="1"/>
  <c r="G318" i="2"/>
  <c r="G315" i="2" s="1"/>
  <c r="G307" i="2"/>
  <c r="G299" i="2"/>
  <c r="G292" i="2"/>
  <c r="G284" i="2"/>
  <c r="G281" i="2"/>
  <c r="G280" i="2" s="1"/>
  <c r="G275" i="2"/>
  <c r="G269" i="2"/>
  <c r="G262" i="2"/>
  <c r="G256" i="2"/>
  <c r="G250" i="2"/>
  <c r="G246" i="2" s="1"/>
  <c r="G241" i="2"/>
  <c r="G236" i="2"/>
  <c r="G230" i="2"/>
  <c r="G219" i="2"/>
  <c r="G211" i="2"/>
  <c r="G207" i="2"/>
  <c r="G200" i="2"/>
  <c r="G199" i="2"/>
  <c r="G189" i="2"/>
  <c r="G181" i="2"/>
  <c r="G171" i="2"/>
  <c r="G170" i="2" s="1"/>
  <c r="G166" i="2"/>
  <c r="G158" i="2"/>
  <c r="G151" i="2"/>
  <c r="G143" i="2"/>
  <c r="G139" i="2"/>
  <c r="G133" i="2"/>
  <c r="G132" i="2" s="1"/>
  <c r="G128" i="2"/>
  <c r="G126" i="2" s="1"/>
  <c r="G121" i="2"/>
  <c r="G118" i="2"/>
  <c r="G108" i="2"/>
  <c r="G101" i="2"/>
  <c r="G95" i="2"/>
  <c r="G80" i="2" s="1"/>
  <c r="G76" i="2"/>
  <c r="G61" i="2" s="1"/>
  <c r="G60" i="2" s="1"/>
  <c r="G59" i="2" s="1"/>
  <c r="G54" i="2"/>
  <c r="G51" i="2"/>
  <c r="G48" i="2"/>
  <c r="G42" i="2"/>
  <c r="G36" i="2"/>
  <c r="G34" i="2" s="1"/>
  <c r="G25" i="2" s="1"/>
  <c r="G31" i="2"/>
  <c r="G26" i="2"/>
  <c r="G20" i="2"/>
  <c r="G17" i="2"/>
  <c r="G14" i="2"/>
  <c r="G585" i="2" l="1"/>
  <c r="G582" i="2" s="1"/>
  <c r="G580" i="2" s="1"/>
  <c r="G483" i="2"/>
  <c r="G530" i="2"/>
  <c r="G116" i="2"/>
  <c r="G13" i="2"/>
  <c r="G12" i="2" s="1"/>
  <c r="G11" i="2" s="1"/>
  <c r="G435" i="2"/>
  <c r="G345" i="2"/>
  <c r="G344" i="2" s="1"/>
  <c r="G461" i="2"/>
  <c r="G452" i="2" s="1"/>
  <c r="G554" i="2"/>
  <c r="G552" i="2" s="1"/>
  <c r="G551" i="2" s="1"/>
  <c r="G157" i="2"/>
  <c r="G156" i="2" s="1"/>
  <c r="G403" i="2"/>
  <c r="G198" i="2"/>
  <c r="G402" i="2"/>
  <c r="G10" i="2" l="1"/>
  <c r="G197" i="2"/>
  <c r="G155" i="2" s="1"/>
  <c r="G9" i="2" s="1"/>
  <c r="G8" i="2" s="1"/>
  <c r="D2" i="1" l="1"/>
  <c r="H618" i="2"/>
  <c r="H603" i="2"/>
  <c r="H600" i="2" s="1"/>
  <c r="H591" i="2"/>
  <c r="H589" i="2" s="1"/>
  <c r="H586" i="2"/>
  <c r="H571" i="2"/>
  <c r="H569" i="2"/>
  <c r="H561" i="2"/>
  <c r="H558" i="2"/>
  <c r="H556" i="2" s="1"/>
  <c r="H554" i="2" s="1"/>
  <c r="H552" i="2" s="1"/>
  <c r="H548" i="2"/>
  <c r="H545" i="2"/>
  <c r="H541" i="2"/>
  <c r="H535" i="2"/>
  <c r="H531" i="2"/>
  <c r="H519" i="2"/>
  <c r="H513" i="2"/>
  <c r="H510" i="2" s="1"/>
  <c r="H501" i="2"/>
  <c r="H493" i="2"/>
  <c r="H484" i="2"/>
  <c r="H483" i="2" s="1"/>
  <c r="H480" i="2"/>
  <c r="H478" i="2" s="1"/>
  <c r="H470" i="2"/>
  <c r="H469" i="2" s="1"/>
  <c r="H466" i="2"/>
  <c r="H463" i="2"/>
  <c r="H453" i="2"/>
  <c r="H447" i="2"/>
  <c r="H444" i="2" s="1"/>
  <c r="H440" i="2"/>
  <c r="H435" i="2" s="1"/>
  <c r="H436" i="2"/>
  <c r="H431" i="2"/>
  <c r="H426" i="2" s="1"/>
  <c r="H427" i="2"/>
  <c r="H422" i="2"/>
  <c r="H418" i="2"/>
  <c r="H417" i="2" s="1"/>
  <c r="H413" i="2"/>
  <c r="H409" i="2"/>
  <c r="H405" i="2"/>
  <c r="H397" i="2"/>
  <c r="H394" i="2"/>
  <c r="H392" i="2" s="1"/>
  <c r="H384" i="2"/>
  <c r="H381" i="2"/>
  <c r="H377" i="2"/>
  <c r="H370" i="2"/>
  <c r="H366" i="2"/>
  <c r="H364" i="2" s="1"/>
  <c r="H361" i="2" s="1"/>
  <c r="H345" i="2" s="1"/>
  <c r="H358" i="2"/>
  <c r="H348" i="2"/>
  <c r="H335" i="2"/>
  <c r="H333" i="2" s="1"/>
  <c r="H329" i="2" s="1"/>
  <c r="H325" i="2"/>
  <c r="H318" i="2"/>
  <c r="H307" i="2"/>
  <c r="H299" i="2"/>
  <c r="H292" i="2"/>
  <c r="H284" i="2"/>
  <c r="H281" i="2"/>
  <c r="H280" i="2" s="1"/>
  <c r="H275" i="2"/>
  <c r="H269" i="2"/>
  <c r="H262" i="2"/>
  <c r="H256" i="2"/>
  <c r="H250" i="2"/>
  <c r="H246" i="2" s="1"/>
  <c r="H241" i="2"/>
  <c r="H236" i="2"/>
  <c r="H230" i="2"/>
  <c r="H219" i="2"/>
  <c r="H211" i="2" s="1"/>
  <c r="H207" i="2"/>
  <c r="H200" i="2"/>
  <c r="H199" i="2"/>
  <c r="H189" i="2"/>
  <c r="H181" i="2"/>
  <c r="H171" i="2"/>
  <c r="H170" i="2" s="1"/>
  <c r="H166" i="2"/>
  <c r="H162" i="2"/>
  <c r="H158" i="2" s="1"/>
  <c r="H157" i="2" s="1"/>
  <c r="H156" i="2" s="1"/>
  <c r="H151" i="2"/>
  <c r="H143" i="2"/>
  <c r="H139" i="2"/>
  <c r="H133" i="2"/>
  <c r="H132" i="2"/>
  <c r="H128" i="2"/>
  <c r="H126" i="2" s="1"/>
  <c r="H121" i="2"/>
  <c r="H118" i="2"/>
  <c r="H108" i="2"/>
  <c r="H101" i="2"/>
  <c r="H95" i="2"/>
  <c r="H80" i="2" s="1"/>
  <c r="H76" i="2"/>
  <c r="H61" i="2" s="1"/>
  <c r="H54" i="2"/>
  <c r="H51" i="2" s="1"/>
  <c r="H49" i="2"/>
  <c r="H48" i="2" s="1"/>
  <c r="H42" i="2"/>
  <c r="H36" i="2"/>
  <c r="H34" i="2" s="1"/>
  <c r="H25" i="2" s="1"/>
  <c r="H31" i="2"/>
  <c r="H26" i="2"/>
  <c r="H20" i="2"/>
  <c r="H17" i="2"/>
  <c r="H14" i="2"/>
  <c r="H315" i="2"/>
  <c r="D6" i="1"/>
  <c r="I8" i="2"/>
  <c r="F5" i="3"/>
  <c r="F11" i="3"/>
  <c r="F13" i="3"/>
  <c r="F16" i="3"/>
  <c r="F19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3" i="3"/>
  <c r="E4" i="3"/>
  <c r="F4" i="3"/>
  <c r="E5" i="3"/>
  <c r="E6" i="3"/>
  <c r="F6" i="3"/>
  <c r="E7" i="3"/>
  <c r="F7" i="3"/>
  <c r="E8" i="3"/>
  <c r="F8" i="3"/>
  <c r="E9" i="3"/>
  <c r="F9" i="3"/>
  <c r="E10" i="3"/>
  <c r="F10" i="3"/>
  <c r="E11" i="3"/>
  <c r="E12" i="3"/>
  <c r="F12" i="3"/>
  <c r="E13" i="3"/>
  <c r="E14" i="3"/>
  <c r="F14" i="3"/>
  <c r="E15" i="3"/>
  <c r="F15" i="3"/>
  <c r="E16" i="3"/>
  <c r="E17" i="3"/>
  <c r="F17" i="3"/>
  <c r="E18" i="3"/>
  <c r="F18" i="3"/>
  <c r="E19" i="3"/>
  <c r="E20" i="3"/>
  <c r="F20" i="3"/>
  <c r="E21" i="3"/>
  <c r="F21" i="3"/>
  <c r="E22" i="3"/>
  <c r="F22" i="3"/>
  <c r="E23" i="3"/>
  <c r="F23" i="3"/>
  <c r="E24" i="3"/>
  <c r="F24" i="3"/>
  <c r="E25" i="3"/>
  <c r="F25" i="3"/>
  <c r="E26" i="3"/>
  <c r="F26" i="3"/>
  <c r="F3" i="3"/>
  <c r="E3" i="3"/>
  <c r="D9" i="1"/>
  <c r="C9" i="1"/>
  <c r="D7" i="1"/>
  <c r="C7" i="1"/>
  <c r="C6" i="1"/>
  <c r="D5" i="1"/>
  <c r="C5" i="1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3" i="3"/>
  <c r="D3" i="1"/>
  <c r="C3" i="1"/>
  <c r="C2" i="1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H585" i="2" l="1"/>
  <c r="H582" i="2" s="1"/>
  <c r="H580" i="2" s="1"/>
  <c r="H13" i="2"/>
  <c r="H12" i="2" s="1"/>
  <c r="H11" i="2" s="1"/>
  <c r="H10" i="2" s="1"/>
  <c r="H404" i="2"/>
  <c r="H403" i="2" s="1"/>
  <c r="H402" i="2" s="1"/>
  <c r="H614" i="2" s="1"/>
  <c r="H613" i="2" s="1"/>
  <c r="H612" i="2" s="1"/>
  <c r="H344" i="2"/>
  <c r="H116" i="2"/>
  <c r="H367" i="2"/>
  <c r="H530" i="2"/>
  <c r="H462" i="2"/>
  <c r="H461" i="2" s="1"/>
  <c r="H452" i="2" s="1"/>
  <c r="H500" i="2"/>
  <c r="C1" i="3"/>
  <c r="C4" i="1" s="1"/>
  <c r="C8" i="1" s="1"/>
  <c r="C10" i="1" s="1"/>
  <c r="C13" i="1" s="1"/>
  <c r="D1" i="3"/>
  <c r="C14" i="1" s="1"/>
  <c r="F1" i="3"/>
  <c r="E1" i="3"/>
  <c r="D4" i="1" s="1"/>
  <c r="D8" i="1" s="1"/>
  <c r="H551" i="2"/>
  <c r="H198" i="2"/>
  <c r="H60" i="2"/>
  <c r="H59" i="2" s="1"/>
  <c r="I155" i="2"/>
  <c r="H197" i="2" l="1"/>
  <c r="H155" i="2" s="1"/>
  <c r="H9" i="2" s="1"/>
  <c r="H8" i="2" s="1"/>
  <c r="C15" i="1"/>
  <c r="E8" i="1"/>
  <c r="F8" i="1" s="1"/>
  <c r="D14" i="1"/>
  <c r="D10" i="1"/>
  <c r="E10" i="1" s="1"/>
  <c r="F10" i="1" s="1"/>
  <c r="D13" i="1" l="1"/>
  <c r="E13" i="1" s="1"/>
  <c r="F13" i="1" s="1"/>
  <c r="D15" i="1" l="1"/>
  <c r="E15" i="1" s="1"/>
  <c r="F15" i="1" s="1"/>
</calcChain>
</file>

<file path=xl/comments1.xml><?xml version="1.0" encoding="utf-8"?>
<comments xmlns="http://schemas.openxmlformats.org/spreadsheetml/2006/main">
  <authors>
    <author>Autore</author>
  </authors>
  <commentList>
    <comment ref="D12" authorId="0" shapeId="0">
      <text>
        <r>
          <rPr>
            <sz val="8"/>
            <color indexed="81"/>
            <rFont val="Tahoma"/>
            <family val="2"/>
          </rPr>
          <t>Rimanenze iniziali - rimanenze finali</t>
        </r>
      </text>
    </comment>
  </commentList>
</comments>
</file>

<file path=xl/sharedStrings.xml><?xml version="1.0" encoding="utf-8"?>
<sst xmlns="http://schemas.openxmlformats.org/spreadsheetml/2006/main" count="1309" uniqueCount="1277">
  <si>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</si>
  <si>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</si>
  <si>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</si>
  <si>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</si>
  <si>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</si>
  <si>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</si>
  <si>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</si>
  <si>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</si>
  <si>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</si>
  <si>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</si>
  <si>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</si>
  <si>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</si>
  <si>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</si>
  <si>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</si>
  <si>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</si>
  <si>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</si>
  <si>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</si>
  <si>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</si>
  <si>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</si>
  <si>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</si>
  <si>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</si>
  <si>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</si>
  <si>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</si>
  <si>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</si>
  <si>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</si>
  <si>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</si>
  <si>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</si>
  <si>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</si>
  <si>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</si>
  <si>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</si>
  <si>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</si>
  <si>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</si>
  <si>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</si>
  <si>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</si>
  <si>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</si>
  <si>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</si>
  <si>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</si>
  <si>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</si>
  <si>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</si>
  <si>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</si>
  <si>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</si>
  <si>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</si>
  <si>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</si>
  <si>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</si>
  <si>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</si>
  <si>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</si>
  <si>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</si>
  <si>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</si>
  <si>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</si>
  <si>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</si>
  <si>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</si>
  <si>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</si>
  <si>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</si>
  <si>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</si>
  <si>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</si>
  <si>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</si>
  <si>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</si>
  <si>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</si>
  <si>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</si>
  <si>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</si>
  <si>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</si>
  <si>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</si>
  <si>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</si>
  <si>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</si>
  <si>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</si>
  <si>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</si>
  <si>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</si>
  <si>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</si>
  <si>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</si>
  <si>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</si>
  <si>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</si>
  <si>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</si>
  <si>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</si>
  <si>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</si>
  <si>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</si>
  <si>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</si>
  <si>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</si>
  <si>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</si>
  <si>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</si>
  <si>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</si>
  <si>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</si>
  <si>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</si>
  <si>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</si>
  <si>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</si>
  <si>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</si>
  <si>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</si>
  <si>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</si>
  <si>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</si>
  <si>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</si>
  <si>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</si>
  <si>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</si>
  <si>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</si>
  <si>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</si>
  <si>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</si>
  <si>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</si>
  <si>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</si>
  <si>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</si>
  <si>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</si>
  <si>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</si>
  <si>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</si>
  <si>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</si>
  <si>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</si>
  <si>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</si>
  <si>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</si>
  <si>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</si>
  <si>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</si>
  <si>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</si>
  <si>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</si>
  <si>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</si>
  <si>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</si>
  <si>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</si>
  <si>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</si>
  <si>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</si>
  <si>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</si>
  <si>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</si>
  <si>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</si>
  <si>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</si>
  <si>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</si>
  <si>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</si>
  <si>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</si>
  <si>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</si>
  <si>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</si>
  <si>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</si>
  <si>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</si>
  <si>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</si>
  <si>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</si>
  <si>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</si>
  <si>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</si>
  <si>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</si>
  <si>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</si>
  <si>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</si>
  <si>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</si>
  <si>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</si>
  <si>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</si>
  <si>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</si>
  <si>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</si>
  <si>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</si>
  <si>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</si>
  <si>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</si>
  <si>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</si>
  <si>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</si>
  <si>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</si>
  <si>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</si>
  <si>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</si>
  <si>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</si>
  <si>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</si>
  <si>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</si>
  <si>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</si>
  <si>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</si>
  <si>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</si>
  <si>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</si>
  <si>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</si>
  <si>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Concessioni, licenze,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</si>
  <si>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</si>
  <si>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</si>
  <si>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</si>
  <si>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</si>
  <si>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</si>
  <si>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</si>
  <si>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</si>
  <si>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</si>
  <si>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</si>
  <si>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</si>
  <si>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</si>
  <si>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</si>
  <si>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</si>
  <si>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</si>
  <si>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</si>
  <si>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</si>
  <si>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</si>
  <si>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</si>
  <si>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</si>
  <si>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</si>
  <si>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</si>
  <si>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</si>
  <si>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</si>
  <si>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</si>
  <si>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</si>
  <si>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</si>
  <si>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</si>
  <si>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</si>
  <si>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</si>
  <si>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</si>
  <si>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</si>
  <si>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</si>
  <si>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</si>
  <si>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</si>
  <si>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</si>
  <si>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</si>
  <si>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</si>
  <si>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</si>
  <si>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</si>
  <si>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</si>
  <si>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</si>
  <si>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</si>
  <si>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</si>
  <si>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</si>
  <si>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</si>
  <si>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</si>
  <si>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</si>
  <si>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</si>
  <si>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</si>
  <si>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</si>
  <si>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</si>
  <si>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</si>
  <si>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</si>
  <si>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</si>
  <si>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</si>
  <si>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</si>
  <si>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</si>
  <si>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</si>
  <si>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</si>
  <si>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</si>
  <si>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</si>
  <si>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</si>
  <si>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</si>
  <si>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</si>
  <si>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</si>
  <si>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</si>
  <si>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</si>
  <si>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</si>
  <si>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</si>
  <si>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</si>
  <si>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</si>
  <si>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</si>
  <si>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</si>
  <si>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</si>
  <si>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</si>
  <si>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</si>
  <si>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</si>
  <si>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</si>
  <si>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</si>
  <si>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</si>
  <si>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</si>
  <si>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</si>
  <si>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</si>
  <si>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</si>
  <si>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</si>
  <si>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</si>
  <si>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</si>
  <si>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</si>
  <si>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</si>
  <si>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</si>
  <si>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</si>
  <si>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</si>
  <si>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</si>
  <si>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</si>
  <si>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</si>
  <si>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</si>
  <si>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</si>
  <si>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</si>
  <si>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</si>
  <si>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</si>
  <si>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</si>
  <si>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</si>
  <si>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</si>
  <si>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</si>
  <si>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</si>
  <si>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</si>
  <si>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</si>
  <si>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</si>
  <si>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</si>
  <si>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</si>
  <si>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</si>
  <si>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</si>
  <si>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</si>
  <si>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</si>
  <si>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</si>
  <si>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</si>
  <si>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</si>
  <si>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</si>
  <si>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</si>
  <si>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</si>
  <si>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</si>
  <si>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</si>
  <si>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</si>
  <si>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</si>
  <si>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</si>
  <si>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</si>
  <si>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</si>
  <si>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</si>
  <si>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</si>
  <si>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</si>
  <si>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</si>
  <si>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</si>
  <si>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</si>
  <si>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</si>
  <si>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</si>
  <si>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</si>
  <si>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</si>
  <si>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</si>
  <si>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</si>
  <si>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</si>
  <si>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</si>
  <si>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</si>
  <si>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</si>
  <si>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</si>
  <si>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</si>
  <si>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</si>
  <si>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</si>
  <si>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</si>
  <si>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</si>
  <si>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</si>
  <si>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</si>
  <si>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</si>
  <si>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</si>
  <si>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</si>
  <si>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</si>
  <si>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</si>
  <si>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</si>
  <si>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</si>
  <si>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</si>
  <si>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</si>
  <si>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</si>
  <si>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</si>
  <si>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</si>
  <si>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</si>
  <si>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</si>
  <si>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</si>
  <si>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</si>
  <si>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</si>
  <si>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</si>
  <si>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</si>
  <si>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</si>
  <si>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</si>
  <si>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</si>
  <si>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</si>
  <si>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</si>
  <si>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</si>
  <si>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</si>
  <si>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</si>
  <si>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</si>
  <si>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</si>
  <si>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</si>
  <si>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</si>
  <si>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</si>
  <si>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</si>
  <si>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</si>
  <si>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</si>
  <si>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</si>
  <si>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</si>
  <si>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</si>
  <si>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</si>
  <si>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</si>
  <si>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</si>
  <si>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</si>
  <si>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</si>
  <si>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</si>
  <si>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</si>
  <si>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</si>
  <si>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</si>
  <si>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</si>
  <si>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</si>
  <si>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</si>
  <si>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</si>
  <si>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</si>
  <si>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</si>
  <si>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</si>
  <si>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</si>
  <si>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</si>
  <si>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</si>
  <si>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</si>
  <si>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</si>
  <si>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</si>
  <si>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</si>
  <si>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</si>
  <si>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</si>
  <si>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</si>
  <si>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</si>
  <si>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</si>
  <si>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</si>
  <si>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</si>
  <si>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</si>
  <si>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</si>
  <si>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</si>
  <si>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</si>
  <si>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</si>
  <si>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</si>
  <si>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</si>
  <si>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</si>
  <si>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</si>
  <si>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</si>
  <si>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</si>
  <si>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</si>
  <si>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</si>
  <si>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</si>
  <si>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</si>
  <si>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</si>
  <si>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</si>
  <si>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</si>
  <si>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</si>
  <si>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</si>
  <si>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</si>
  <si>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</si>
  <si>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</si>
  <si>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</si>
  <si>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</si>
  <si>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</si>
  <si>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</si>
  <si>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</si>
  <si>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</si>
  <si>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</si>
  <si>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</si>
  <si>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</si>
  <si>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</si>
  <si>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</si>
  <si>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</si>
  <si>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</si>
  <si>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</si>
  <si>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</si>
  <si>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</si>
  <si>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</si>
  <si>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</si>
  <si>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</si>
  <si>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</si>
  <si>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</si>
  <si>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</si>
  <si>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</si>
  <si>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</si>
  <si>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</si>
  <si>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</si>
  <si>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</si>
  <si>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</si>
  <si>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</si>
  <si>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</si>
  <si>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</si>
  <si>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</si>
  <si>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</si>
  <si>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</si>
  <si>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</si>
  <si>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</si>
  <si>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</si>
  <si>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</si>
  <si>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</si>
  <si>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</si>
  <si>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</si>
  <si>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</si>
  <si>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</si>
  <si>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</si>
  <si>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</si>
  <si>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</si>
  <si>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</si>
  <si>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</si>
  <si>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</si>
  <si>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</si>
  <si>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</si>
  <si>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</si>
  <si>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</si>
  <si>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</si>
  <si>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</si>
  <si>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</si>
  <si>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</si>
  <si>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</si>
  <si>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</si>
  <si>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</si>
  <si>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</si>
  <si>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</si>
  <si>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</si>
  <si>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</si>
  <si>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</si>
  <si>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</si>
  <si>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</si>
  <si>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</si>
  <si>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</si>
  <si>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</si>
  <si>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</si>
  <si>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</si>
  <si>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</si>
  <si>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</si>
  <si>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</si>
  <si>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</si>
  <si>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</si>
  <si>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</si>
  <si>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</si>
  <si>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</si>
  <si>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</si>
  <si>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</si>
  <si>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</si>
  <si>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</si>
  <si>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</si>
  <si>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</si>
  <si>
    <t>CEPA T3  2022</t>
  </si>
  <si>
    <t>CEPA T3 2022</t>
  </si>
  <si>
    <t>CEPA T3 2022 di cui COVID</t>
  </si>
  <si>
    <t>di cui COVID (gennaio-marzo 2022)</t>
  </si>
  <si>
    <r>
      <t xml:space="preserve">A.1.B.1.2)  Contributi da Regione o Prov. Aut. (extra fondo) - Risorse aggiuntive da bilancio regionale a titolo di copertura </t>
    </r>
    <r>
      <rPr>
        <u/>
        <sz val="10"/>
        <color indexed="8"/>
        <rFont val="Calibri"/>
        <family val="2"/>
      </rPr>
      <t>LEA</t>
    </r>
  </si>
  <si>
    <r>
      <t xml:space="preserve">A.1.B.1.3)  Contributi da Regione o Prov. Aut. (extra fondo) - Risorse aggiuntive da bilancio regionale a titolo di copertura </t>
    </r>
    <r>
      <rPr>
        <u/>
        <sz val="10"/>
        <color indexed="8"/>
        <rFont val="Calibri"/>
        <family val="2"/>
      </rPr>
      <t>extra LEA</t>
    </r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</si>
  <si>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</si>
  <si>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</si>
  <si>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</si>
  <si>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</si>
  <si>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BA0510 (B.2.A.2.2) - da pubblico (Aziende sanitarie pubbliche della Regione)- Mobilità intraregionale)</t>
  </si>
  <si>
    <t>BA0520 (B.2.A.2.3) - da pubblico (Extraregione))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</si>
  <si>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</si>
  <si>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</si>
  <si>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BA0560 (B.2.A.3.5) - da pubblico (Extraregione))</t>
  </si>
  <si>
    <t>BA0561 (B.2.A.3.6) prestazioni di pronto soccorso non seguite da ricovero - da pubblico (Extraregione))</t>
  </si>
  <si>
    <t>BA0650 (B.2.A.4.1) - da pubblico (Aziende sanitarie pubbliche della Regione))</t>
  </si>
  <si>
    <t>BA0810 (B.2.A.7.1) - da pubblico (Aziende sanitarie pubbliche della Regione))</t>
  </si>
  <si>
    <t>BA0830 (B.2.A.7.3) - da pubblico (Extraregione))</t>
  </si>
  <si>
    <t>BA0970 (B.2.A.9.1) - da pubblico (Aziende sanitarie pubbliche della Regione) - Mobilità intraregionale)</t>
  </si>
  <si>
    <t>BA0990 (B.2.A.9.3) - da pubblico (Extraregione))</t>
  </si>
  <si>
    <t>BA1040 (B.2.A.10.1) - da pubblico (Aziende sanitarie pubbliche della Regione) - Mobilità intraregionale)</t>
  </si>
  <si>
    <t>BA1060 (B.2.A.10.3) - da pubblico (Extraregione))</t>
  </si>
  <si>
    <t>BA1100 (B.2.A.11.1) - da pubblico (Aziende sanitarie pubbliche della Regione) - Mobilità intraregionale)</t>
  </si>
  <si>
    <t>BA1120 (B.2.A.11.3) - da pubblico (Extraregione))</t>
  </si>
  <si>
    <t>BA1152 (B.2.A.12.1.B) Altre prestazioni socio-sanitarie a rilevanza sanitaria)</t>
  </si>
  <si>
    <t>BA1161 (B.2.A.12.3) - da pubblico (Extraregione) - Acquisto di Altre prestaioni sociosanitare a rilevanza sanitaria erogate a soggetti pubblici Extraregione)</t>
  </si>
  <si>
    <t>BA1540 (B.2.A.16.5)  Costi per servizi sanitari - Mobilità internazionale passiva)</t>
  </si>
  <si>
    <t>BA1541 (B.2.A.16.6) Costi per servizi sanitari - Mobilità internazionale passiva rilevata dalle ASL)</t>
  </si>
  <si>
    <t>BA1550 (B.2.A.17) Costi GSA per differenziale saldo mobilità interregionale)</t>
  </si>
  <si>
    <t>Mobilità passiva</t>
  </si>
  <si>
    <t>Ammortamenti</t>
  </si>
  <si>
    <t>Variazione rimanenze</t>
  </si>
  <si>
    <t>Accantonamenti</t>
  </si>
  <si>
    <t>Costi "energia"</t>
  </si>
  <si>
    <t>Variazione rimanenze beni covid consegnati da Azienda Zero</t>
  </si>
  <si>
    <t>di cui Covid</t>
  </si>
  <si>
    <t>di cui covid</t>
  </si>
  <si>
    <t>di cui covid
(3 mesi)</t>
  </si>
  <si>
    <t>Obiettivo costo programmato al netto energia</t>
  </si>
  <si>
    <t>Polizza di assicurazione per la copertura del rischio di responsabilità civile verso terzi e prestatori d’opera (RCT/RCO) - Poste R</t>
  </si>
  <si>
    <t>Obiettivo costo programmato al netto energia, poste R assicuraizone (RCT/RCO) e var. rimanenze beni Covid acquistati da azienda zero</t>
  </si>
  <si>
    <t>Obiettivo costo programmato "grezzo"</t>
  </si>
  <si>
    <t>Obiettivo costo programmato "finale"</t>
  </si>
  <si>
    <t>Delta</t>
  </si>
  <si>
    <t>Delta%</t>
  </si>
  <si>
    <t>Covid 3 mesi</t>
  </si>
  <si>
    <t/>
  </si>
  <si>
    <t>BEP 2022</t>
  </si>
  <si>
    <t>CONSUNTIVO 2021</t>
  </si>
  <si>
    <t>DELTA su 2021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</si>
  <si>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</si>
  <si>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</si>
  <si>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</si>
  <si>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</si>
  <si>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</si>
  <si>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</si>
  <si>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</si>
  <si>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</si>
  <si>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</si>
  <si>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</si>
  <si>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</si>
  <si>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</si>
  <si>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</si>
  <si>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</si>
  <si>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</si>
  <si>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</si>
  <si>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</si>
  <si>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</si>
  <si>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</si>
  <si>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</si>
  <si>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</si>
  <si>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</si>
  <si>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</si>
  <si>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</si>
  <si>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</si>
  <si>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</si>
  <si>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</si>
  <si>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</si>
  <si>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</si>
  <si>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</si>
  <si>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</si>
  <si>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</si>
  <si>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</si>
  <si>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</si>
  <si>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</si>
  <si>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</si>
  <si>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</si>
  <si>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</si>
  <si>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</si>
  <si>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</si>
  <si>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</si>
  <si>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AA0090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</si>
  <si>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</si>
  <si>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</si>
  <si>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</si>
  <si>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</si>
  <si>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</si>
  <si>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</si>
  <si>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</si>
  <si>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</si>
  <si>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</si>
  <si>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</si>
  <si>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</si>
  <si>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</si>
  <si>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</si>
  <si>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</si>
  <si>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AA0015a</t>
  </si>
  <si>
    <t>A.1.B.3.2.a)  Contributi da altri soggetti pubblici (extra fondo) vincolati - PERIMETRO SANITA</t>
  </si>
  <si>
    <t>AA0015b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</si>
  <si>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</si>
  <si>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</si>
  <si>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</si>
  <si>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</si>
  <si>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</si>
  <si>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</si>
  <si>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dell’art.79, comma 1 sexies lettera c), del D.L. 112/2008,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</si>
  <si>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</si>
  <si>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</si>
  <si>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</si>
  <si>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</si>
  <si>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</si>
  <si>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</si>
  <si>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</si>
  <si>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</si>
  <si>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</si>
  <si>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</si>
  <si>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</si>
  <si>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</si>
  <si>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</si>
  <si>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</si>
  <si>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</si>
  <si>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</si>
  <si>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</si>
  <si>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</si>
  <si>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</si>
  <si>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</si>
  <si>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</si>
  <si>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</si>
  <si>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</si>
  <si>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</si>
  <si>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</si>
  <si>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</si>
  <si>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</si>
  <si>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</si>
  <si>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</si>
  <si>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</si>
  <si>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</si>
  <si>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</si>
  <si>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</si>
  <si>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</si>
  <si>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</si>
  <si>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</si>
  <si>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</si>
  <si>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</si>
  <si>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</si>
  <si>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</si>
  <si>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</si>
  <si>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</si>
  <si>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</si>
  <si>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</si>
  <si>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</si>
  <si>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</si>
  <si>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</si>
  <si>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</si>
  <si>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</si>
  <si>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</si>
  <si>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</si>
  <si>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MMG, PLS,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</si>
  <si>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</si>
  <si>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</si>
  <si>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</si>
  <si>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</si>
  <si>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</si>
  <si>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</si>
  <si>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</si>
  <si>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</si>
  <si>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</si>
  <si>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</si>
  <si>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</si>
  <si>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</si>
  <si>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</si>
  <si>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</si>
  <si>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</si>
  <si>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</si>
  <si>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</si>
  <si>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</si>
  <si>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</si>
  <si>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</si>
  <si>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</si>
  <si>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</si>
  <si>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</si>
  <si>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</si>
  <si>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</si>
  <si>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</si>
  <si>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</si>
  <si>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</si>
  <si>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</si>
  <si>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</si>
  <si>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</si>
  <si>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</si>
  <si>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</si>
  <si>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</si>
  <si>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</si>
  <si>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</si>
  <si>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</si>
  <si>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MMG, PLS,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</si>
  <si>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</si>
  <si>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</si>
  <si>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</si>
  <si>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</si>
  <si>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</si>
  <si>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</si>
  <si>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</si>
  <si>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</si>
  <si>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</si>
  <si>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</si>
  <si>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</si>
  <si>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</si>
  <si>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</si>
  <si>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</si>
  <si>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</si>
  <si>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</si>
  <si>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</si>
  <si>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</si>
  <si>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</si>
  <si>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</si>
  <si>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</si>
  <si>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</si>
  <si>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</si>
  <si>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</si>
  <si>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</si>
  <si>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</si>
  <si>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</si>
  <si>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</si>
  <si>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</si>
  <si>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</si>
  <si>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</si>
  <si>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</si>
  <si>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</si>
  <si>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</si>
  <si>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</si>
  <si>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</si>
  <si>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</si>
  <si>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</si>
  <si>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</si>
  <si>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</si>
  <si>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</si>
  <si>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</si>
  <si>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</si>
  <si>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</si>
  <si>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</si>
  <si>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</si>
  <si>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</si>
  <si>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</si>
  <si>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</si>
  <si>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</si>
  <si>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</si>
  <si>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</si>
  <si>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</si>
  <si>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</si>
  <si>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</si>
  <si>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</si>
  <si>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</si>
  <si>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</si>
  <si>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</si>
  <si>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</si>
  <si>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</si>
  <si>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</si>
  <si>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</si>
  <si>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</si>
  <si>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</si>
  <si>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</si>
  <si>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</si>
  <si>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</si>
  <si>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</si>
  <si>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</si>
  <si>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</si>
  <si>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</si>
  <si>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</si>
  <si>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</si>
  <si>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</si>
  <si>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</si>
  <si>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AA0831</t>
  </si>
  <si>
    <t>A.5.C.4) Altri concorsi, recuperi e rimborsi da parte della Regione - GSA - Azienda Zero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</si>
  <si>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</si>
  <si>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</si>
  <si>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</si>
  <si>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</si>
  <si>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</si>
  <si>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</si>
  <si>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</si>
  <si>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</si>
  <si>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</si>
  <si>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</si>
  <si>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</si>
  <si>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</si>
  <si>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</si>
  <si>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</si>
  <si>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</si>
  <si>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</si>
  <si>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</si>
  <si>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</si>
  <si>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</si>
  <si>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</si>
  <si>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</si>
  <si>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</si>
  <si>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</si>
  <si>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</si>
  <si>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</si>
  <si>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</si>
  <si>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</si>
  <si>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</si>
  <si>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</si>
  <si>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</si>
  <si>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</si>
  <si>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</si>
  <si>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</si>
  <si>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</si>
  <si>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</si>
  <si>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</si>
  <si>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</si>
  <si>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</si>
  <si>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</si>
  <si>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</si>
  <si>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</si>
  <si>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</si>
  <si>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</si>
  <si>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</si>
  <si>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</si>
  <si>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</si>
  <si>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</si>
  <si>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</si>
  <si>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</si>
  <si>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</si>
  <si>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</si>
  <si>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</si>
  <si>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</si>
  <si>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</si>
  <si>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</si>
  <si>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</si>
  <si>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</si>
  <si>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</si>
  <si>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</si>
  <si>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</si>
  <si>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</si>
  <si>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</si>
  <si>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</si>
  <si>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</si>
  <si>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</si>
  <si>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</si>
  <si>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</si>
  <si>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vaccini, emoderivati di produzione regionale,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</si>
  <si>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</si>
  <si>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</si>
  <si>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</si>
  <si>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</si>
  <si>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</si>
  <si>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</si>
  <si>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</si>
  <si>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</si>
  <si>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</si>
  <si>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</si>
  <si>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</si>
  <si>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</si>
  <si>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</si>
  <si>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</si>
  <si>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</si>
  <si>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</si>
  <si>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</si>
  <si>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</si>
  <si>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</si>
  <si>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</si>
  <si>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</si>
  <si>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</si>
  <si>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</si>
  <si>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</si>
  <si>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</si>
  <si>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</si>
  <si>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</si>
  <si>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</si>
  <si>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</si>
  <si>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</si>
  <si>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</si>
  <si>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</si>
  <si>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</si>
  <si>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</si>
  <si>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</si>
  <si>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</si>
  <si>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</si>
  <si>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</si>
  <si>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</si>
  <si>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</si>
  <si>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</si>
  <si>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</si>
  <si>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</si>
  <si>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</si>
  <si>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</si>
  <si>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</si>
  <si>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</si>
  <si>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</si>
  <si>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</si>
  <si>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</si>
  <si>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</si>
  <si>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</si>
  <si>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</si>
  <si>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</si>
  <si>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</si>
  <si>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</si>
  <si>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</si>
  <si>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</si>
  <si>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</si>
  <si>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</si>
  <si>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</si>
  <si>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</si>
  <si>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</si>
  <si>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</si>
  <si>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</si>
  <si>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</si>
  <si>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</si>
  <si>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</si>
  <si>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</si>
  <si>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</si>
  <si>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</si>
  <si>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</si>
  <si>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</si>
  <si>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</si>
  <si>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</si>
  <si>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</si>
  <si>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</si>
  <si>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</si>
  <si>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</si>
  <si>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</si>
  <si>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</si>
  <si>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</si>
  <si>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</si>
  <si>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</si>
  <si>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</si>
  <si>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</si>
  <si>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</si>
  <si>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</si>
  <si>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</si>
  <si>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</si>
  <si>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</si>
  <si>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</si>
  <si>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</si>
  <si>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</si>
  <si>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</si>
  <si>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</si>
  <si>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</si>
  <si>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</si>
  <si>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</si>
  <si>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</si>
  <si>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</si>
  <si>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</si>
  <si>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</si>
  <si>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</si>
  <si>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</si>
  <si>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</si>
  <si>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</si>
  <si>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</si>
  <si>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</si>
  <si>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</si>
  <si>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</si>
  <si>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</si>
  <si>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</si>
  <si>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</si>
  <si>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</si>
  <si>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</si>
  <si>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</si>
  <si>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</si>
  <si>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</si>
  <si>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</si>
  <si>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</si>
  <si>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</si>
  <si>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</si>
  <si>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</si>
  <si>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</si>
  <si>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</si>
  <si>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</si>
  <si>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</si>
  <si>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</si>
  <si>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</si>
  <si>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</si>
  <si>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</si>
  <si>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</si>
  <si>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</si>
  <si>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</si>
  <si>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</si>
  <si>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</si>
  <si>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</si>
  <si>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</si>
  <si>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</si>
  <si>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</si>
  <si>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</si>
  <si>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</si>
  <si>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</si>
  <si>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</si>
  <si>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</si>
  <si>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</si>
  <si>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</si>
  <si>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</si>
  <si>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</si>
  <si>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</si>
  <si>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</si>
  <si>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</si>
  <si>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</si>
  <si>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</si>
  <si>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</si>
  <si>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</si>
  <si>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</si>
  <si>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</si>
  <si>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</si>
  <si>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</si>
  <si>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</si>
  <si>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</si>
  <si>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</si>
  <si>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</si>
  <si>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</si>
  <si>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</si>
  <si>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</si>
  <si>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</si>
  <si>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</si>
  <si>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</si>
  <si>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</si>
  <si>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</si>
  <si>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</si>
  <si>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</si>
  <si>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</si>
  <si>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</si>
  <si>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</si>
  <si>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</si>
  <si>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</si>
  <si>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</si>
  <si>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</si>
  <si>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</si>
  <si>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</si>
  <si>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</si>
  <si>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</si>
  <si>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</si>
  <si>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</si>
  <si>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</si>
  <si>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</si>
  <si>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</si>
  <si>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</si>
  <si>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</si>
  <si>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</si>
  <si>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</si>
  <si>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</si>
  <si>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</si>
  <si>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</si>
  <si>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</si>
  <si>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</si>
  <si>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</si>
  <si>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</si>
  <si>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</si>
  <si>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</si>
  <si>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</si>
  <si>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</si>
  <si>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</si>
  <si>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</si>
  <si>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</si>
  <si>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</si>
  <si>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</si>
  <si>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</si>
  <si>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</si>
  <si>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</si>
  <si>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</si>
  <si>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</si>
  <si>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</si>
  <si>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</si>
  <si>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</si>
  <si>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</si>
  <si>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</si>
  <si>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</si>
  <si>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</si>
  <si>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</si>
  <si>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</si>
  <si>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</si>
  <si>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</si>
  <si>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</si>
  <si>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</si>
  <si>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</si>
  <si>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</si>
  <si>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</si>
  <si>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</si>
  <si>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</si>
  <si>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</si>
  <si>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</si>
  <si>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</si>
  <si>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</si>
  <si>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</si>
  <si>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</si>
  <si>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</si>
  <si>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</si>
  <si>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</si>
  <si>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</si>
  <si>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</si>
  <si>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</si>
  <si>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</si>
  <si>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</si>
  <si>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</si>
  <si>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</si>
  <si>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</si>
  <si>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</si>
  <si>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</si>
  <si>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</si>
  <si>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</si>
  <si>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</si>
  <si>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</si>
  <si>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</si>
  <si>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</si>
  <si>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</si>
  <si>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</si>
  <si>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</si>
  <si>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</si>
  <si>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</si>
  <si>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</si>
  <si>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</si>
  <si>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</si>
  <si>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</si>
  <si>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</si>
  <si>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</si>
  <si>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</si>
  <si>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</si>
  <si>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</si>
  <si>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</si>
  <si>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</si>
  <si>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</si>
  <si>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</si>
  <si>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</si>
  <si>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</si>
  <si>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</si>
  <si>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</si>
  <si>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</si>
  <si>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</si>
  <si>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</si>
  <si>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</si>
  <si>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</si>
  <si>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</si>
  <si>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</si>
  <si>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</si>
  <si>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</si>
  <si>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</si>
  <si>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</si>
  <si>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</si>
  <si>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</si>
  <si>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</si>
  <si>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</si>
  <si>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</si>
  <si>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</si>
  <si>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</si>
  <si>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</si>
  <si>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</si>
  <si>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</si>
  <si>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</si>
  <si>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</si>
  <si>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</si>
  <si>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</si>
  <si>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</si>
  <si>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</si>
  <si>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BA1341</t>
  </si>
  <si>
    <t>B.2.A.14.7)  Rimborsi, assegni e contributi v/Regione - GSA - Azienda Zero</t>
  </si>
  <si>
    <t>BA1350</t>
  </si>
  <si>
    <t>B.2.A.15)  Consulenze, Collaborazioni,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</si>
  <si>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</si>
  <si>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</si>
  <si>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</si>
  <si>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</si>
  <si>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</si>
  <si>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Consulenze, Collaborazioni,  Interinale e altre prestazioni di lavoro sanitarie e sociosanitarie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</si>
  <si>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</si>
  <si>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</si>
  <si>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</si>
  <si>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</si>
  <si>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</si>
  <si>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</si>
  <si>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</si>
  <si>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</si>
  <si>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</si>
  <si>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</si>
  <si>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</si>
  <si>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</si>
  <si>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</si>
  <si>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</si>
  <si>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</si>
  <si>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</si>
  <si>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</si>
  <si>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</si>
  <si>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</si>
  <si>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</si>
  <si>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</si>
  <si>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</si>
  <si>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</si>
  <si>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</si>
  <si>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</si>
  <si>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</si>
  <si>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</si>
  <si>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</si>
  <si>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</si>
  <si>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</si>
  <si>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</si>
  <si>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</si>
  <si>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</si>
  <si>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</si>
  <si>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</si>
  <si>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</si>
  <si>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</si>
  <si>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</si>
  <si>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</si>
  <si>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</si>
  <si>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</si>
  <si>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</si>
  <si>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</si>
  <si>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</si>
  <si>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</si>
  <si>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</si>
  <si>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</si>
  <si>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</si>
  <si>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</si>
  <si>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</si>
  <si>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</si>
  <si>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</si>
  <si>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</si>
  <si>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</si>
  <si>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</si>
  <si>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</si>
  <si>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</si>
  <si>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</si>
  <si>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</si>
  <si>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</si>
  <si>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</si>
  <si>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</si>
  <si>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</si>
  <si>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</si>
  <si>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</si>
  <si>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</si>
  <si>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</si>
  <si>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</si>
  <si>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</si>
  <si>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</si>
  <si>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</si>
  <si>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</si>
  <si>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</si>
  <si>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</si>
  <si>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</si>
  <si>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</si>
  <si>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</si>
  <si>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</si>
  <si>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</si>
  <si>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</si>
  <si>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</si>
  <si>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</si>
  <si>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</si>
  <si>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</si>
  <si>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</si>
  <si>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</si>
  <si>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</si>
  <si>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</si>
  <si>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</si>
  <si>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</si>
  <si>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</si>
  <si>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</si>
  <si>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</si>
  <si>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</si>
  <si>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</si>
  <si>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</si>
  <si>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</si>
  <si>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</si>
  <si>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</si>
  <si>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</si>
  <si>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</si>
  <si>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</si>
  <si>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</si>
  <si>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</si>
  <si>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</si>
  <si>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</si>
  <si>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</si>
  <si>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</si>
  <si>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</si>
  <si>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</si>
  <si>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</si>
  <si>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</si>
  <si>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</si>
  <si>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</si>
  <si>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</si>
  <si>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dell’art.79, comma 1 sexies lettera c), del D.L. 112/2008,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</si>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</sst>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#,##0.00_ ;\-#,##0.00\ "/>
    <numFmt numFmtId="165" formatCode="0.0%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28"/>
      <color indexed="8"/>
      <name val="Calibri"/>
      <family val="2"/>
    </font>
    <font>
      <b/>
      <sz val="12"/>
      <color indexed="9"/>
      <name val="Calibri"/>
      <family val="2"/>
    </font>
    <font>
      <i/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i/>
      <sz val="10"/>
      <color indexed="8"/>
      <name val="Calibri"/>
      <family val="2"/>
    </font>
    <font>
      <b/>
      <i/>
      <sz val="11"/>
      <color indexed="8"/>
      <name val="Calibri"/>
      <family val="2"/>
    </font>
    <font>
      <sz val="10"/>
      <color indexed="8"/>
      <name val="Calibri"/>
      <family val="2"/>
    </font>
    <font>
      <i/>
      <sz val="11"/>
      <color indexed="8"/>
      <name val="Calibri"/>
      <family val="2"/>
    </font>
    <font>
      <u/>
      <sz val="10"/>
      <color indexed="8"/>
      <name val="Calibri"/>
      <family val="2"/>
    </font>
    <font>
      <b/>
      <sz val="12"/>
      <color indexed="8"/>
      <name val="Calibri"/>
      <family val="2"/>
    </font>
    <font>
      <b/>
      <i/>
      <u/>
      <sz val="10"/>
      <color indexed="8"/>
      <name val="Calibri"/>
      <family val="2"/>
    </font>
    <font>
      <b/>
      <i/>
      <u/>
      <sz val="11"/>
      <color indexed="8"/>
      <name val="Calibri"/>
      <family val="2"/>
    </font>
    <font>
      <sz val="12"/>
      <color indexed="8"/>
      <name val="Calibri"/>
      <family val="2"/>
    </font>
    <font>
      <sz val="8"/>
      <color indexed="8"/>
      <name val="Calibri"/>
      <family val="2"/>
    </font>
    <font>
      <sz val="8"/>
      <color indexed="81"/>
      <name val="Tahoma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i/>
      <u/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55"/>
        <bgColor indexed="44"/>
      </patternFill>
    </fill>
    <fill>
      <patternFill patternType="solid">
        <fgColor indexed="44"/>
        <bgColor indexed="44"/>
      </patternFill>
    </fill>
    <fill>
      <patternFill patternType="solid">
        <fgColor indexed="62"/>
        <bgColor indexed="44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55"/>
        <b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4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44"/>
      </patternFill>
    </fill>
    <fill>
      <patternFill patternType="solid">
        <fgColor rgb="FFFFFFCC"/>
        <bgColor rgb="FFFFFFCC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2" applyFont="1" applyBorder="1"/>
    <xf numFmtId="0" fontId="4" fillId="2" borderId="0" xfId="2" applyFont="1" applyFill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3" fillId="0" borderId="0" xfId="2" applyFont="1" applyBorder="1" applyAlignment="1"/>
    <xf numFmtId="0" fontId="1" fillId="0" borderId="0" xfId="2" applyFont="1" applyBorder="1"/>
    <xf numFmtId="49" fontId="6" fillId="0" borderId="0" xfId="2" applyNumberFormat="1" applyFont="1" applyBorder="1"/>
    <xf numFmtId="49" fontId="7" fillId="3" borderId="0" xfId="2" applyNumberFormat="1" applyFont="1" applyFill="1" applyBorder="1" applyAlignment="1">
      <alignment horizontal="center" vertical="center" wrapText="1"/>
    </xf>
    <xf numFmtId="49" fontId="7" fillId="4" borderId="0" xfId="2" applyNumberFormat="1" applyFont="1" applyFill="1" applyBorder="1" applyAlignment="1">
      <alignment horizontal="center" vertical="center" wrapText="1"/>
    </xf>
    <xf numFmtId="49" fontId="8" fillId="5" borderId="0" xfId="2" applyNumberFormat="1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left" vertical="center"/>
    </xf>
    <xf numFmtId="164" fontId="7" fillId="4" borderId="1" xfId="2" applyNumberFormat="1" applyFont="1" applyFill="1" applyBorder="1" applyAlignment="1">
      <alignment vertical="center" wrapText="1"/>
    </xf>
    <xf numFmtId="0" fontId="9" fillId="4" borderId="1" xfId="2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left" vertical="center"/>
    </xf>
    <xf numFmtId="164" fontId="9" fillId="4" borderId="1" xfId="2" applyNumberFormat="1" applyFont="1" applyFill="1" applyBorder="1" applyAlignment="1">
      <alignment vertical="center" wrapText="1"/>
    </xf>
    <xf numFmtId="0" fontId="9" fillId="6" borderId="1" xfId="2" applyFont="1" applyFill="1" applyBorder="1" applyAlignment="1">
      <alignment horizontal="center" vertical="center" wrapText="1"/>
    </xf>
    <xf numFmtId="0" fontId="9" fillId="6" borderId="1" xfId="2" applyFont="1" applyFill="1" applyBorder="1" applyAlignment="1">
      <alignment horizontal="left" vertical="center"/>
    </xf>
    <xf numFmtId="164" fontId="9" fillId="6" borderId="1" xfId="2" applyNumberFormat="1" applyFont="1" applyFill="1" applyBorder="1" applyAlignment="1">
      <alignment vertical="center" wrapText="1"/>
    </xf>
    <xf numFmtId="0" fontId="7" fillId="6" borderId="1" xfId="2" applyFont="1" applyFill="1" applyBorder="1" applyAlignment="1">
      <alignment horizontal="center" vertical="center" wrapText="1"/>
    </xf>
    <xf numFmtId="0" fontId="7" fillId="6" borderId="1" xfId="2" applyFont="1" applyFill="1" applyBorder="1" applyAlignment="1">
      <alignment horizontal="left" vertical="center"/>
    </xf>
    <xf numFmtId="164" fontId="7" fillId="6" borderId="1" xfId="2" applyNumberFormat="1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center" vertical="center" wrapText="1"/>
    </xf>
    <xf numFmtId="0" fontId="11" fillId="6" borderId="1" xfId="2" applyFont="1" applyFill="1" applyBorder="1" applyAlignment="1">
      <alignment horizontal="left" vertical="center"/>
    </xf>
    <xf numFmtId="164" fontId="11" fillId="6" borderId="1" xfId="2" applyNumberFormat="1" applyFont="1" applyFill="1" applyBorder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/>
    </xf>
    <xf numFmtId="164" fontId="6" fillId="0" borderId="1" xfId="2" applyNumberFormat="1" applyFont="1" applyBorder="1" applyAlignment="1">
      <alignment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left" vertical="center"/>
    </xf>
    <xf numFmtId="164" fontId="9" fillId="0" borderId="1" xfId="2" applyNumberFormat="1" applyFont="1" applyBorder="1" applyAlignment="1">
      <alignment vertical="center" wrapText="1"/>
    </xf>
    <xf numFmtId="0" fontId="11" fillId="7" borderId="1" xfId="2" applyFont="1" applyFill="1" applyBorder="1" applyAlignment="1">
      <alignment horizontal="center" vertical="center" wrapText="1"/>
    </xf>
    <xf numFmtId="0" fontId="11" fillId="7" borderId="1" xfId="2" applyFont="1" applyFill="1" applyBorder="1" applyAlignment="1">
      <alignment horizontal="left" vertical="center"/>
    </xf>
    <xf numFmtId="164" fontId="11" fillId="7" borderId="1" xfId="2" applyNumberFormat="1" applyFont="1" applyFill="1" applyBorder="1" applyAlignment="1">
      <alignment vertical="center" wrapText="1"/>
    </xf>
    <xf numFmtId="0" fontId="11" fillId="8" borderId="1" xfId="2" applyFont="1" applyFill="1" applyBorder="1" applyAlignment="1">
      <alignment horizontal="center" vertical="center" wrapText="1"/>
    </xf>
    <xf numFmtId="0" fontId="11" fillId="8" borderId="1" xfId="2" applyFont="1" applyFill="1" applyBorder="1" applyAlignment="1">
      <alignment horizontal="left" vertical="center"/>
    </xf>
    <xf numFmtId="164" fontId="11" fillId="8" borderId="1" xfId="2" applyNumberFormat="1" applyFont="1" applyFill="1" applyBorder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center"/>
    </xf>
    <xf numFmtId="164" fontId="11" fillId="0" borderId="1" xfId="2" applyNumberFormat="1" applyFont="1" applyBorder="1" applyAlignment="1">
      <alignment vertical="center" wrapText="1"/>
    </xf>
    <xf numFmtId="0" fontId="7" fillId="0" borderId="1" xfId="2" applyFont="1" applyBorder="1" applyAlignment="1">
      <alignment horizontal="center" vertical="center" wrapText="1"/>
    </xf>
    <xf numFmtId="164" fontId="7" fillId="0" borderId="1" xfId="2" applyNumberFormat="1" applyFont="1" applyBorder="1" applyAlignment="1">
      <alignment vertical="center" wrapText="1"/>
    </xf>
    <xf numFmtId="0" fontId="6" fillId="7" borderId="1" xfId="2" applyFont="1" applyFill="1" applyBorder="1" applyAlignment="1">
      <alignment horizontal="center" vertical="center" wrapText="1"/>
    </xf>
    <xf numFmtId="0" fontId="6" fillId="7" borderId="1" xfId="2" applyFont="1" applyFill="1" applyBorder="1" applyAlignment="1">
      <alignment horizontal="left" vertical="center"/>
    </xf>
    <xf numFmtId="164" fontId="6" fillId="7" borderId="1" xfId="2" applyNumberFormat="1" applyFont="1" applyFill="1" applyBorder="1" applyAlignment="1">
      <alignment vertical="center" wrapText="1"/>
    </xf>
    <xf numFmtId="0" fontId="6" fillId="6" borderId="1" xfId="2" applyFont="1" applyFill="1" applyBorder="1" applyAlignment="1">
      <alignment horizontal="center" vertical="center" wrapText="1"/>
    </xf>
    <xf numFmtId="0" fontId="6" fillId="6" borderId="1" xfId="2" applyFont="1" applyFill="1" applyBorder="1" applyAlignment="1">
      <alignment horizontal="left" vertical="center"/>
    </xf>
    <xf numFmtId="164" fontId="6" fillId="6" borderId="1" xfId="2" applyNumberFormat="1" applyFont="1" applyFill="1" applyBorder="1" applyAlignment="1">
      <alignment vertical="center" wrapText="1"/>
    </xf>
    <xf numFmtId="0" fontId="6" fillId="8" borderId="1" xfId="2" applyFont="1" applyFill="1" applyBorder="1" applyAlignment="1">
      <alignment horizontal="center" vertical="center" wrapText="1"/>
    </xf>
    <xf numFmtId="0" fontId="6" fillId="8" borderId="1" xfId="2" applyFont="1" applyFill="1" applyBorder="1" applyAlignment="1">
      <alignment horizontal="left" vertical="center"/>
    </xf>
    <xf numFmtId="0" fontId="14" fillId="4" borderId="1" xfId="2" applyFont="1" applyFill="1" applyBorder="1" applyAlignment="1">
      <alignment horizontal="left" vertical="center"/>
    </xf>
    <xf numFmtId="164" fontId="14" fillId="4" borderId="1" xfId="2" applyNumberFormat="1" applyFont="1" applyFill="1" applyBorder="1" applyAlignment="1">
      <alignment vertical="center" wrapText="1"/>
    </xf>
    <xf numFmtId="0" fontId="6" fillId="9" borderId="1" xfId="2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left" vertical="center"/>
    </xf>
    <xf numFmtId="164" fontId="6" fillId="9" borderId="1" xfId="2" applyNumberFormat="1" applyFont="1" applyFill="1" applyBorder="1" applyAlignment="1">
      <alignment vertical="center" wrapText="1"/>
    </xf>
    <xf numFmtId="0" fontId="7" fillId="0" borderId="1" xfId="2" applyFont="1" applyBorder="1" applyAlignment="1">
      <alignment horizontal="left" vertical="center"/>
    </xf>
    <xf numFmtId="0" fontId="9" fillId="8" borderId="1" xfId="2" applyFont="1" applyFill="1" applyBorder="1" applyAlignment="1">
      <alignment horizontal="center" vertical="center" wrapText="1"/>
    </xf>
    <xf numFmtId="0" fontId="9" fillId="8" borderId="1" xfId="2" applyFont="1" applyFill="1" applyBorder="1" applyAlignment="1">
      <alignment horizontal="left" vertical="center"/>
    </xf>
    <xf numFmtId="0" fontId="15" fillId="4" borderId="1" xfId="2" applyFont="1" applyFill="1" applyBorder="1" applyAlignment="1">
      <alignment horizontal="center" vertical="center" wrapText="1"/>
    </xf>
    <xf numFmtId="0" fontId="15" fillId="4" borderId="1" xfId="2" applyFont="1" applyFill="1" applyBorder="1" applyAlignment="1">
      <alignment horizontal="left" vertical="center"/>
    </xf>
    <xf numFmtId="164" fontId="15" fillId="4" borderId="1" xfId="2" applyNumberFormat="1" applyFont="1" applyFill="1" applyBorder="1" applyAlignment="1">
      <alignment vertical="center" wrapText="1"/>
    </xf>
    <xf numFmtId="0" fontId="9" fillId="7" borderId="1" xfId="2" applyFont="1" applyFill="1" applyBorder="1" applyAlignment="1">
      <alignment horizontal="center" vertical="center" wrapText="1"/>
    </xf>
    <xf numFmtId="0" fontId="9" fillId="7" borderId="1" xfId="2" applyFont="1" applyFill="1" applyBorder="1" applyAlignment="1">
      <alignment horizontal="left" vertical="center"/>
    </xf>
    <xf numFmtId="164" fontId="9" fillId="7" borderId="1" xfId="2" applyNumberFormat="1" applyFont="1" applyFill="1" applyBorder="1" applyAlignment="1">
      <alignment vertical="center" wrapText="1"/>
    </xf>
    <xf numFmtId="0" fontId="11" fillId="9" borderId="1" xfId="2" applyFont="1" applyFill="1" applyBorder="1" applyAlignment="1">
      <alignment horizontal="center" vertical="center" wrapText="1"/>
    </xf>
    <xf numFmtId="0" fontId="11" fillId="9" borderId="1" xfId="2" applyFont="1" applyFill="1" applyBorder="1" applyAlignment="1">
      <alignment horizontal="left" vertical="center"/>
    </xf>
    <xf numFmtId="164" fontId="11" fillId="9" borderId="1" xfId="2" applyNumberFormat="1" applyFont="1" applyFill="1" applyBorder="1" applyAlignment="1">
      <alignment vertical="center" wrapText="1"/>
    </xf>
    <xf numFmtId="43" fontId="0" fillId="0" borderId="0" xfId="1" applyFont="1"/>
    <xf numFmtId="43" fontId="0" fillId="0" borderId="0" xfId="0" applyNumberFormat="1"/>
    <xf numFmtId="0" fontId="17" fillId="0" borderId="0" xfId="2" applyFont="1" applyBorder="1" applyAlignment="1">
      <alignment vertical="center"/>
    </xf>
    <xf numFmtId="0" fontId="0" fillId="10" borderId="0" xfId="0" applyFill="1"/>
    <xf numFmtId="49" fontId="7" fillId="11" borderId="0" xfId="2" applyNumberFormat="1" applyFont="1" applyFill="1" applyBorder="1" applyAlignment="1">
      <alignment horizontal="center" vertical="center" wrapText="1"/>
    </xf>
    <xf numFmtId="0" fontId="11" fillId="10" borderId="0" xfId="0" applyFont="1" applyFill="1"/>
    <xf numFmtId="0" fontId="18" fillId="10" borderId="0" xfId="0" applyFont="1" applyFill="1"/>
    <xf numFmtId="3" fontId="11" fillId="10" borderId="0" xfId="0" applyNumberFormat="1" applyFont="1" applyFill="1"/>
    <xf numFmtId="0" fontId="7" fillId="10" borderId="0" xfId="0" applyFont="1" applyFill="1"/>
    <xf numFmtId="3" fontId="7" fillId="10" borderId="0" xfId="0" applyNumberFormat="1" applyFont="1" applyFill="1"/>
    <xf numFmtId="165" fontId="7" fillId="10" borderId="0" xfId="3" applyNumberFormat="1" applyFont="1" applyFill="1"/>
    <xf numFmtId="0" fontId="11" fillId="10" borderId="0" xfId="0" applyFont="1" applyFill="1" applyAlignment="1"/>
    <xf numFmtId="0" fontId="7" fillId="10" borderId="2" xfId="0" applyFont="1" applyFill="1" applyBorder="1"/>
    <xf numFmtId="3" fontId="7" fillId="10" borderId="3" xfId="0" applyNumberFormat="1" applyFont="1" applyFill="1" applyBorder="1"/>
    <xf numFmtId="3" fontId="7" fillId="10" borderId="4" xfId="0" applyNumberFormat="1" applyFont="1" applyFill="1" applyBorder="1"/>
    <xf numFmtId="165" fontId="7" fillId="10" borderId="5" xfId="3" applyNumberFormat="1" applyFont="1" applyFill="1" applyBorder="1"/>
    <xf numFmtId="0" fontId="7" fillId="10" borderId="0" xfId="0" applyFont="1" applyFill="1" applyAlignment="1">
      <alignment horizontal="center"/>
    </xf>
    <xf numFmtId="0" fontId="2" fillId="0" borderId="0" xfId="2" applyFont="1" applyBorder="1" applyAlignment="1">
      <alignment horizontal="left" vertical="center"/>
    </xf>
    <xf numFmtId="4" fontId="2" fillId="0" borderId="1" xfId="2" applyNumberFormat="1" applyFont="1" applyFill="1" applyBorder="1" applyAlignment="1">
      <alignment horizontal="right"/>
    </xf>
    <xf numFmtId="4" fontId="10" fillId="0" borderId="1" xfId="2" applyNumberFormat="1" applyFont="1" applyFill="1" applyBorder="1" applyAlignment="1">
      <alignment horizontal="right"/>
    </xf>
    <xf numFmtId="4" fontId="1" fillId="0" borderId="1" xfId="2" applyNumberFormat="1" applyFont="1" applyFill="1" applyBorder="1" applyAlignment="1">
      <alignment horizontal="right"/>
    </xf>
    <xf numFmtId="4" fontId="12" fillId="0" borderId="1" xfId="2" applyNumberFormat="1" applyFont="1" applyFill="1" applyBorder="1" applyAlignment="1">
      <alignment horizontal="right"/>
    </xf>
    <xf numFmtId="4" fontId="14" fillId="0" borderId="1" xfId="2" applyNumberFormat="1" applyFont="1" applyFill="1" applyBorder="1" applyAlignment="1">
      <alignment horizontal="right"/>
    </xf>
    <xf numFmtId="4" fontId="16" fillId="0" borderId="1" xfId="2" applyNumberFormat="1" applyFont="1" applyFill="1" applyBorder="1" applyAlignment="1">
      <alignment horizontal="right"/>
    </xf>
    <xf numFmtId="0" fontId="3" fillId="0" borderId="0" xfId="2" applyFont="1" applyFill="1" applyBorder="1"/>
    <xf numFmtId="0" fontId="3" fillId="0" borderId="0" xfId="2" applyFont="1" applyFill="1" applyBorder="1" applyAlignment="1"/>
    <xf numFmtId="3" fontId="11" fillId="12" borderId="1" xfId="0" applyNumberFormat="1" applyFont="1" applyFill="1" applyBorder="1" applyProtection="1">
      <protection locked="0"/>
    </xf>
    <xf numFmtId="4" fontId="22" fillId="14" borderId="6" xfId="0" applyNumberFormat="1" applyFont="1" applyFill="1" applyBorder="1" applyAlignment="1" applyProtection="1">
      <alignment horizontal="right"/>
      <protection locked="0"/>
    </xf>
    <xf numFmtId="4" fontId="22" fillId="14" borderId="7" xfId="0" applyNumberFormat="1" applyFont="1" applyFill="1" applyBorder="1" applyAlignment="1" applyProtection="1">
      <alignment horizontal="right"/>
      <protection locked="0"/>
    </xf>
    <xf numFmtId="4" fontId="23" fillId="14" borderId="7" xfId="0" applyNumberFormat="1" applyFont="1" applyFill="1" applyBorder="1" applyAlignment="1" applyProtection="1">
      <alignment horizontal="right"/>
      <protection locked="0"/>
    </xf>
    <xf numFmtId="4" fontId="24" fillId="14" borderId="7" xfId="0" applyNumberFormat="1" applyFont="1" applyFill="1" applyBorder="1" applyAlignment="1" applyProtection="1">
      <alignment horizontal="right"/>
      <protection locked="0"/>
    </xf>
    <xf numFmtId="4" fontId="25" fillId="14" borderId="7" xfId="0" applyNumberFormat="1" applyFont="1" applyFill="1" applyBorder="1" applyAlignment="1" applyProtection="1">
      <alignment horizontal="right"/>
      <protection locked="0"/>
    </xf>
    <xf numFmtId="4" fontId="26" fillId="14" borderId="7" xfId="0" applyNumberFormat="1" applyFont="1" applyFill="1" applyBorder="1" applyAlignment="1" applyProtection="1">
      <alignment horizontal="right"/>
      <protection locked="0"/>
    </xf>
    <xf numFmtId="4" fontId="27" fillId="14" borderId="7" xfId="0" applyNumberFormat="1" applyFont="1" applyFill="1" applyBorder="1" applyAlignment="1" applyProtection="1">
      <alignment horizontal="right"/>
      <protection locked="0"/>
    </xf>
    <xf numFmtId="0" fontId="5" fillId="13" borderId="0" xfId="2" applyFont="1" applyFill="1" applyBorder="1" applyAlignment="1">
      <alignment horizontal="center" vertical="center"/>
    </xf>
  </cellXfs>
  <cellStyles count="4">
    <cellStyle name="Migliaia" xfId="1" builtinId="3"/>
    <cellStyle name="Normale" xfId="0" builtinId="0"/>
    <cellStyle name="Normale 2" xfId="2"/>
    <cellStyle name="Percentuale" xfId="3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2\CECT%20T2\file%20Regione\cepa_t2_san_20220721_1424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s_Aziende"/>
      <sheetName val="Ins_Poste_R"/>
      <sheetName val="POSTE_R_SANITARIO"/>
      <sheetName val="Schema di riferimento (totale)"/>
      <sheetName val="Precompilato input"/>
      <sheetName val="Conto Economico"/>
      <sheetName val="CE MIN"/>
      <sheetName val="TXT"/>
      <sheetName val="ANAGR"/>
      <sheetName val="FM_POSTER_SAN"/>
    </sheetNames>
    <sheetDataSet>
      <sheetData sheetId="0"/>
      <sheetData sheetId="1"/>
      <sheetData sheetId="2"/>
      <sheetData sheetId="3">
        <row r="6">
          <cell r="A6" t="str">
            <v>AA0120</v>
          </cell>
          <cell r="B6" t="str">
            <v>A.1.B.2.1)  Contributi da Aziende sanitarie pubbliche della Regione o Prov. Aut. (extra fondo) vincolati</v>
          </cell>
          <cell r="C6">
            <v>0</v>
          </cell>
        </row>
        <row r="7">
          <cell r="A7" t="str">
            <v>AA0130</v>
          </cell>
          <cell r="B7" t="str">
            <v>A.1.B.2.2)  Contributi da Aziende sanitarie pubbliche della Regione o Prov. Aut. (extra fondo) altro</v>
          </cell>
          <cell r="C7">
            <v>0</v>
          </cell>
        </row>
        <row r="8">
          <cell r="A8" t="str">
            <v>AA0421</v>
          </cell>
          <cell r="B8" t="str">
            <v>A.4.A.1.10) Prestazioni assistenza integrativa</v>
          </cell>
          <cell r="C8">
            <v>0</v>
          </cell>
        </row>
        <row r="9">
          <cell r="A9" t="str">
            <v>AA0422</v>
          </cell>
          <cell r="B9" t="str">
            <v>A.4.A.1.11) Prestazioni assistenza protesica</v>
          </cell>
          <cell r="C9">
            <v>0</v>
          </cell>
        </row>
        <row r="10">
          <cell r="A10" t="str">
            <v>AA0424</v>
          </cell>
          <cell r="B10" t="str">
            <v>A.4.A.1.13) Ricavi per cessione di emocomponenti e cellule staminali</v>
          </cell>
          <cell r="C10">
            <v>0</v>
          </cell>
        </row>
        <row r="11">
          <cell r="A11" t="str">
            <v>AA0425</v>
          </cell>
          <cell r="B11" t="str">
            <v>A.4.A.1.14) Prestazioni assistenza domiciliare integrata (ADI)</v>
          </cell>
          <cell r="C11">
            <v>0</v>
          </cell>
        </row>
        <row r="12">
          <cell r="A12" t="str">
            <v>AA0430b</v>
          </cell>
          <cell r="B12" t="str">
            <v xml:space="preserve">A.4.A.1.15.B) Altre prestazioni sanitarie e socio-sanitarie a rilevanza sanitaria </v>
          </cell>
          <cell r="C12">
            <v>6512558.9100000001</v>
          </cell>
        </row>
        <row r="13">
          <cell r="A13" t="str">
            <v>AA0720</v>
          </cell>
          <cell r="B13" t="str">
            <v>A.4.D.5)  Ricavi per prestazioni sanitarie intramoenia - Consulenze (ex art. 55 c.1 lett. c), d) ed ex art. 57-58) (Aziende sanitarie pubbliche della Regione)</v>
          </cell>
          <cell r="C13">
            <v>771617.91</v>
          </cell>
        </row>
        <row r="14">
          <cell r="A14" t="str">
            <v>AA0740</v>
          </cell>
          <cell r="B14" t="str">
            <v>A.4.D.7)  Ricavi per prestazioni sanitarie intramoenia - Altro (Aziende sanitarie pubbliche della Regione)</v>
          </cell>
          <cell r="C14">
            <v>0</v>
          </cell>
        </row>
        <row r="15">
          <cell r="A15" t="str">
            <v>AA0810</v>
          </cell>
          <cell r="B15" t="str">
            <v>A.5.C.1) Rimborso degli oneri stipendiali del personale dipendente dell'azienda in posizione di comando presso Aziende sanitarie pubbliche della Regione</v>
          </cell>
          <cell r="C15">
            <v>0</v>
          </cell>
        </row>
        <row r="16">
          <cell r="A16" t="str">
            <v>AA0820</v>
          </cell>
          <cell r="B16" t="str">
            <v>A.5.C.2) Rimborsi per acquisto beni da parte di Aziende sanitarie pubbliche della Regione</v>
          </cell>
          <cell r="C16">
            <v>484190</v>
          </cell>
        </row>
        <row r="17">
          <cell r="A17" t="str">
            <v>AA0830</v>
          </cell>
          <cell r="B17" t="str">
            <v>A.5.C.3) Altri concorsi, recuperi e rimborsi da parte di Aziende sanitarie pubbliche della Regione</v>
          </cell>
          <cell r="C17">
            <v>590080.49</v>
          </cell>
        </row>
        <row r="18">
          <cell r="A18" t="str">
            <v>AA0831</v>
          </cell>
          <cell r="B18" t="str">
            <v>A.5.C.4) Altri concorsi, recuperi e rimborsi da parte della Regione - GSA - Azienda Zero (compilato da Aziende)</v>
          </cell>
          <cell r="C18">
            <v>0</v>
          </cell>
        </row>
        <row r="19">
          <cell r="A19" t="str">
            <v>BA0080</v>
          </cell>
          <cell r="B19" t="str">
            <v>B.1.A.2.1) da pubblico (Aziende sanitarie pubbliche della Regione) – Mobilità intraregionale - Sangue ed Emocomponenti</v>
          </cell>
          <cell r="C19">
            <v>0</v>
          </cell>
        </row>
        <row r="20">
          <cell r="A20" t="str">
            <v>BA0301</v>
          </cell>
          <cell r="B20" t="str">
            <v>B.1.A.9.1)  Prodotti farmaceutici ed emoderivati</v>
          </cell>
          <cell r="C20">
            <v>54145.05</v>
          </cell>
        </row>
        <row r="21">
          <cell r="A21" t="str">
            <v>BA0303</v>
          </cell>
          <cell r="B21" t="str">
            <v>B.1.A.9.3) Dispositivi medici</v>
          </cell>
          <cell r="C21">
            <v>3492380.15</v>
          </cell>
        </row>
        <row r="22">
          <cell r="A22" t="str">
            <v>BA0304</v>
          </cell>
          <cell r="B22" t="str">
            <v>B.1.A.9.4)  Prodotti dietetici</v>
          </cell>
          <cell r="C22">
            <v>0</v>
          </cell>
        </row>
        <row r="23">
          <cell r="A23" t="str">
            <v>BA0305</v>
          </cell>
          <cell r="B23" t="str">
            <v>B.1.A.9.5)  Materiali per la profilassi (vaccini)</v>
          </cell>
          <cell r="C23">
            <v>0</v>
          </cell>
        </row>
        <row r="24">
          <cell r="A24" t="str">
            <v>BA0306</v>
          </cell>
          <cell r="B24" t="str">
            <v>B.1.A.9.6)  Prodotti chimici</v>
          </cell>
          <cell r="C24">
            <v>0</v>
          </cell>
        </row>
        <row r="25">
          <cell r="A25" t="str">
            <v>BA0307</v>
          </cell>
          <cell r="B25" t="str">
            <v>B.1.A.9.7)  Materiali e prodotti per uso veterinario</v>
          </cell>
          <cell r="C25">
            <v>0</v>
          </cell>
        </row>
        <row r="26">
          <cell r="A26" t="str">
            <v>BA0308</v>
          </cell>
          <cell r="B26" t="str">
            <v>B.1.A.9.8)  Altri beni e prodotti sanitari</v>
          </cell>
          <cell r="C26">
            <v>825590.8</v>
          </cell>
        </row>
        <row r="27">
          <cell r="A27" t="str">
            <v>BA0380</v>
          </cell>
          <cell r="B27" t="str">
            <v>B.1.B.7)  Beni e prodotti non sanitari da Aziende sanitarie pubbliche della Regione</v>
          </cell>
          <cell r="C27">
            <v>0</v>
          </cell>
        </row>
        <row r="28">
          <cell r="A28" t="str">
            <v>BA0710</v>
          </cell>
          <cell r="B28" t="str">
            <v>B.2.A.5.1) - da pubblico (Aziende sanitarie pubbliche della Regione)  - Integrativa</v>
          </cell>
          <cell r="C28">
            <v>0</v>
          </cell>
        </row>
        <row r="29">
          <cell r="A29" t="str">
            <v>BA0760</v>
          </cell>
          <cell r="B29" t="str">
            <v>B.2.A.6.1) - da pubblico (Aziende sanitarie pubbliche della Regione) - Protesica</v>
          </cell>
          <cell r="C29">
            <v>0</v>
          </cell>
        </row>
        <row r="30">
          <cell r="A30" t="str">
            <v>BA1151</v>
          </cell>
          <cell r="B30" t="str">
            <v>B.2.A.12.1.A) Assistenza domiciliare integrata (ADI)</v>
          </cell>
          <cell r="C30">
            <v>0</v>
          </cell>
        </row>
        <row r="31">
          <cell r="A31" t="str">
            <v>BA1250</v>
          </cell>
          <cell r="B31" t="str">
            <v>B.2.A.13.5)  Compartecipazione al personale per att. libero professionale intramoenia - Consulenze (ex art. 55 c.1 lett. c), d) ed ex Art. 57-58) (Aziende sanitarie pubbliche della Regione)</v>
          </cell>
          <cell r="C31">
            <v>0</v>
          </cell>
        </row>
        <row r="32">
          <cell r="A32" t="str">
            <v>BA1270</v>
          </cell>
          <cell r="B32" t="str">
            <v>B.2.A.13.7)  Compartecipazione al personale per att. libero  professionale intramoenia - Altro (Aziende sanitarie pubbliche della Regione)</v>
          </cell>
          <cell r="C32">
            <v>0</v>
          </cell>
        </row>
        <row r="33">
          <cell r="A33" t="str">
            <v>BA1340</v>
          </cell>
          <cell r="B33" t="str">
            <v>B.2.A.14.6)  Rimborsi, assegni e contributi v/Aziende sanitarie pubbliche della Regione</v>
          </cell>
          <cell r="C33">
            <v>0</v>
          </cell>
        </row>
        <row r="34">
          <cell r="A34" t="str">
            <v>BA1341</v>
          </cell>
          <cell r="B34" t="str">
            <v>B.2.A.14.7)  Rimborsi, assegni e contributi v/Regione - GSA - Azienda Zero (compilato da aziende)</v>
          </cell>
          <cell r="C34">
            <v>13000</v>
          </cell>
        </row>
        <row r="35">
          <cell r="A35" t="str">
            <v>BA1360</v>
          </cell>
          <cell r="B35" t="str">
            <v>B.2.A.15.1) Consulenze sanitarie e sociosanitarieda Aziende sanitarie pubbliche della Regione</v>
          </cell>
          <cell r="C35">
            <v>0</v>
          </cell>
        </row>
        <row r="36">
          <cell r="A36" t="str">
            <v>BA1460</v>
          </cell>
          <cell r="B36" t="str">
            <v>B.2.A.15.4.A) Rimborso oneri stipendiali personale sanitario in comando da Aziende sanitarie pubbliche della Regione</v>
          </cell>
          <cell r="C36">
            <v>0</v>
          </cell>
        </row>
        <row r="37">
          <cell r="A37" t="str">
            <v>BA1500</v>
          </cell>
          <cell r="B37" t="str">
            <v>B.2.A.16.1)  Altri servizi sanitari e sociosanitari a rilevanza sanitaria da pubblico - Aziende sanitarie pubbliche della Regione</v>
          </cell>
          <cell r="C37">
            <v>386939.34</v>
          </cell>
        </row>
        <row r="38">
          <cell r="A38" t="str">
            <v>BA1720</v>
          </cell>
          <cell r="B38" t="str">
            <v>B.2.B.1.12.A) Altri servizi non sanitari da pubblico (Aziende sanitarie pubbliche della Regione)</v>
          </cell>
          <cell r="C38">
            <v>296</v>
          </cell>
        </row>
        <row r="39">
          <cell r="A39" t="str">
            <v>BA1760</v>
          </cell>
          <cell r="B39" t="str">
            <v>B.2.B.2.1) Consulenze non sanitarie da Aziende sanitarie pubbliche della Regione</v>
          </cell>
          <cell r="C39">
            <v>0</v>
          </cell>
        </row>
        <row r="40">
          <cell r="A40" t="str">
            <v>BA1850</v>
          </cell>
          <cell r="B40" t="str">
            <v>B.2.B.2.4.A) Rimborso oneri stipendiali personale non sanitario in comando da Aziende sanitarie pubbliche della Regione</v>
          </cell>
          <cell r="C40">
            <v>0</v>
          </cell>
        </row>
        <row r="41">
          <cell r="A41" t="str">
            <v>BA1980</v>
          </cell>
          <cell r="B41" t="str">
            <v>B.3.G)  Manutenzioni e riparazioni da Aziende sanitarie pubbliche della Regione</v>
          </cell>
          <cell r="C41">
            <v>0</v>
          </cell>
        </row>
        <row r="42">
          <cell r="A42" t="str">
            <v>BA2070</v>
          </cell>
          <cell r="B42" t="str">
            <v>B.4.E)  Locazioni e noleggi da Aziende sanitarie pubbliche della Regione</v>
          </cell>
          <cell r="C42">
            <v>0</v>
          </cell>
        </row>
        <row r="43">
          <cell r="A43" t="str">
            <v>BA2551</v>
          </cell>
          <cell r="B43" t="str">
            <v>B.9.C.3)  Altri oneri diversi di gestione da Aziende sanitarie pubbliche della Regione</v>
          </cell>
          <cell r="C43">
            <v>0</v>
          </cell>
        </row>
        <row r="44">
          <cell r="A44" t="str">
            <v>EA0060a</v>
          </cell>
          <cell r="B44" t="str">
            <v>E.1.B.2.2.A) Sopravvenienze attive v/Aziende sanitarie pubbliche della Regione relative alla mobilità intraregionale)</v>
          </cell>
          <cell r="C44">
            <v>0</v>
          </cell>
        </row>
        <row r="45">
          <cell r="A45" t="str">
            <v>EA0060b</v>
          </cell>
          <cell r="B45" t="str">
            <v>E.1.B.2.2.B) Altre sopravvenienze attive v/Aziende sanitarie pubbliche della Regione)</v>
          </cell>
          <cell r="C45">
            <v>248844.64</v>
          </cell>
        </row>
        <row r="46">
          <cell r="A46" t="str">
            <v>EA0160</v>
          </cell>
          <cell r="B46" t="str">
            <v>E.1.B.3.1) Insussistenze attive v/Aziende sanitarie pubbliche della Regione</v>
          </cell>
          <cell r="C46">
            <v>0</v>
          </cell>
        </row>
        <row r="47">
          <cell r="A47" t="str">
            <v>EA0330</v>
          </cell>
          <cell r="B47" t="str">
            <v>E.2.B.3.1.A) Sopravvenienze passive v/Aziende sanitarie pubbliche relative alla mobilità intraregionale</v>
          </cell>
          <cell r="C47">
            <v>0</v>
          </cell>
        </row>
        <row r="48">
          <cell r="A48" t="str">
            <v>EA0340</v>
          </cell>
          <cell r="B48" t="str">
            <v>E.2.B.3.1.B) Altre sopravvenienze passive v/Aziende sanitarie pubbliche della Regione</v>
          </cell>
          <cell r="C48">
            <v>36415.300000000003</v>
          </cell>
        </row>
        <row r="49">
          <cell r="A49" t="str">
            <v>EA0470</v>
          </cell>
          <cell r="B49" t="str">
            <v>E.2.B.4.2) Insussistenze passive v/Aziende sanitarie pubbliche della Regione</v>
          </cell>
          <cell r="C4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W1000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14.42578125" defaultRowHeight="15" customHeight="1" x14ac:dyDescent="0.25"/>
  <cols>
    <col min="1" max="1" width="8.7109375" style="4" customWidth="1"/>
    <col min="2" max="2" width="82.85546875" style="4" customWidth="1"/>
    <col min="3" max="4" width="18.5703125" style="92" customWidth="1"/>
    <col min="5" max="8" width="18.5703125" style="4" customWidth="1"/>
    <col min="9" max="9" width="21.85546875" style="4" customWidth="1"/>
    <col min="10" max="10" width="2.7109375" style="4" customWidth="1"/>
    <col min="11" max="16384" width="14.42578125" style="4"/>
  </cols>
  <sheetData>
    <row r="1" spans="1:23" ht="36" x14ac:dyDescent="0.55000000000000004">
      <c r="A1" s="1"/>
      <c r="B1" s="84"/>
      <c r="C1" s="2">
        <v>912</v>
      </c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1"/>
      <c r="B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1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0.5" customHeight="1" x14ac:dyDescent="0.25">
      <c r="A6" s="1"/>
      <c r="B6" s="5"/>
      <c r="C6" s="1"/>
      <c r="D6" s="1"/>
      <c r="E6" s="1"/>
      <c r="F6" s="101" t="s">
        <v>481</v>
      </c>
      <c r="G6" s="101"/>
      <c r="H6" s="101"/>
      <c r="I6" s="69"/>
      <c r="J6" s="6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8.75" customHeight="1" x14ac:dyDescent="0.25">
      <c r="A7" s="1"/>
      <c r="B7" s="6" t="s">
        <v>528</v>
      </c>
      <c r="C7" s="7" t="s">
        <v>529</v>
      </c>
      <c r="D7" s="7" t="s">
        <v>530</v>
      </c>
      <c r="E7" s="7" t="s">
        <v>517</v>
      </c>
      <c r="F7" s="8" t="s">
        <v>482</v>
      </c>
      <c r="G7" s="9" t="s">
        <v>483</v>
      </c>
      <c r="H7" s="9" t="s">
        <v>484</v>
      </c>
      <c r="I7" s="7" t="s">
        <v>531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0" t="s">
        <v>532</v>
      </c>
      <c r="B8" s="11" t="s">
        <v>533</v>
      </c>
      <c r="C8" s="85">
        <v>-112603023.83</v>
      </c>
      <c r="D8" s="85">
        <v>-37981589.719999999</v>
      </c>
      <c r="E8" s="85">
        <v>-5776297.4699999997</v>
      </c>
      <c r="F8" s="94">
        <v>-92165910.989999995</v>
      </c>
      <c r="G8" s="94">
        <f>+G9-G612</f>
        <v>-26427383.998708926</v>
      </c>
      <c r="H8" s="94">
        <f>H9-H612</f>
        <v>-6465592.0899999999</v>
      </c>
      <c r="I8" s="12">
        <f>F8-D8</f>
        <v>-54184321.269999996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0" t="s">
        <v>534</v>
      </c>
      <c r="B9" s="11" t="s">
        <v>535</v>
      </c>
      <c r="C9" s="85">
        <v>-93137023.829999998</v>
      </c>
      <c r="D9" s="85">
        <v>-17771995.949999999</v>
      </c>
      <c r="E9" s="85">
        <v>-4434330.32</v>
      </c>
      <c r="F9" s="95">
        <v>-72258405.670000002</v>
      </c>
      <c r="G9" s="95">
        <f>+G10-G155+G530+G548+G551</f>
        <v>-24904905.369685709</v>
      </c>
      <c r="H9" s="95">
        <f>ROUND(H10-H155+H530+H548+H551,2)</f>
        <v>-6153687.4500000002</v>
      </c>
      <c r="I9" s="12">
        <f t="shared" ref="I9:I262" si="0">F9-D9</f>
        <v>-54486409.719999999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0" t="s">
        <v>536</v>
      </c>
      <c r="B10" s="11" t="s">
        <v>537</v>
      </c>
      <c r="C10" s="85">
        <v>600719127.11000001</v>
      </c>
      <c r="D10" s="85">
        <v>666413188.88999999</v>
      </c>
      <c r="E10" s="85">
        <v>22828416.34</v>
      </c>
      <c r="F10" s="95">
        <v>624166180.98000002</v>
      </c>
      <c r="G10" s="95">
        <f>+G11+G48+G51+G59+G116+G139+G143+G150+G151</f>
        <v>1637577.15</v>
      </c>
      <c r="H10" s="95">
        <f>ROUND(H11+H48+H51+H59+H116+H139+H143+H150+H151,2)</f>
        <v>-20973.64</v>
      </c>
      <c r="I10" s="12">
        <f t="shared" si="0"/>
        <v>-42247007.909999967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0" t="s">
        <v>538</v>
      </c>
      <c r="B11" s="11" t="s">
        <v>539</v>
      </c>
      <c r="C11" s="85">
        <v>100462313</v>
      </c>
      <c r="D11" s="85">
        <v>126894588.27</v>
      </c>
      <c r="E11" s="85">
        <v>16657944.76</v>
      </c>
      <c r="F11" s="95">
        <v>86481512.159999996</v>
      </c>
      <c r="G11" s="95">
        <f>+G12+G25+G42+G47</f>
        <v>0</v>
      </c>
      <c r="H11" s="95">
        <f>ROUND(H12+H25+H42+H47,2)</f>
        <v>0</v>
      </c>
      <c r="I11" s="12">
        <f t="shared" si="0"/>
        <v>-40413076.109999999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3" t="s">
        <v>540</v>
      </c>
      <c r="B12" s="14" t="s">
        <v>541</v>
      </c>
      <c r="C12" s="86">
        <v>99312313</v>
      </c>
      <c r="D12" s="86">
        <v>121704355.89</v>
      </c>
      <c r="E12" s="86">
        <v>12910265.27</v>
      </c>
      <c r="F12" s="96">
        <v>85143023.819999993</v>
      </c>
      <c r="G12" s="96">
        <f>G13+G24</f>
        <v>0</v>
      </c>
      <c r="H12" s="96">
        <f>ROUND(H13+H24,2)</f>
        <v>0</v>
      </c>
      <c r="I12" s="15">
        <f t="shared" si="0"/>
        <v>-36561332.070000008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6" t="s">
        <v>542</v>
      </c>
      <c r="B13" s="17" t="s">
        <v>543</v>
      </c>
      <c r="C13" s="86">
        <v>83046500</v>
      </c>
      <c r="D13" s="86">
        <v>112964067.56</v>
      </c>
      <c r="E13" s="86">
        <v>12910265.27</v>
      </c>
      <c r="F13" s="96">
        <v>85143023.819999993</v>
      </c>
      <c r="G13" s="96">
        <f>+G14+G17+G20+G23</f>
        <v>0</v>
      </c>
      <c r="H13" s="96">
        <f>ROUND(H14+H17+H20+H23,2)</f>
        <v>0</v>
      </c>
      <c r="I13" s="18">
        <f t="shared" si="0"/>
        <v>-27821043.74000001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9" t="s">
        <v>544</v>
      </c>
      <c r="B14" s="20" t="s">
        <v>545</v>
      </c>
      <c r="C14" s="85">
        <v>0</v>
      </c>
      <c r="D14" s="85">
        <v>10526433</v>
      </c>
      <c r="E14" s="85">
        <v>0</v>
      </c>
      <c r="F14" s="95">
        <v>0</v>
      </c>
      <c r="G14" s="95">
        <f>+G15+G16</f>
        <v>0</v>
      </c>
      <c r="H14" s="95">
        <f>ROUND(H15+H16,2)</f>
        <v>0</v>
      </c>
      <c r="I14" s="21">
        <f t="shared" si="0"/>
        <v>-10526433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22" t="s">
        <v>546</v>
      </c>
      <c r="B15" s="23" t="s">
        <v>547</v>
      </c>
      <c r="C15" s="87">
        <v>0</v>
      </c>
      <c r="D15" s="87">
        <v>0</v>
      </c>
      <c r="E15" s="87"/>
      <c r="F15" s="97">
        <v>0</v>
      </c>
      <c r="G15" s="97"/>
      <c r="H15" s="97"/>
      <c r="I15" s="24">
        <f t="shared" si="0"/>
        <v>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22" t="s">
        <v>548</v>
      </c>
      <c r="B16" s="23" t="s">
        <v>549</v>
      </c>
      <c r="C16" s="87">
        <v>0</v>
      </c>
      <c r="D16" s="87">
        <v>10526433</v>
      </c>
      <c r="E16" s="87"/>
      <c r="F16" s="97">
        <v>0</v>
      </c>
      <c r="G16" s="97"/>
      <c r="H16" s="97"/>
      <c r="I16" s="24">
        <f t="shared" si="0"/>
        <v>-10526433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9" t="s">
        <v>550</v>
      </c>
      <c r="B17" s="20" t="s">
        <v>551</v>
      </c>
      <c r="C17" s="85">
        <v>0</v>
      </c>
      <c r="D17" s="85">
        <v>19391134.559999999</v>
      </c>
      <c r="E17" s="85">
        <v>12910265.27</v>
      </c>
      <c r="F17" s="95">
        <v>2096523.82</v>
      </c>
      <c r="G17" s="95">
        <f>+G18+G19</f>
        <v>0</v>
      </c>
      <c r="H17" s="95">
        <f>ROUND(H18+H19,2)</f>
        <v>0</v>
      </c>
      <c r="I17" s="21">
        <f t="shared" si="0"/>
        <v>-17294610.739999998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22" t="s">
        <v>552</v>
      </c>
      <c r="B18" s="23" t="s">
        <v>553</v>
      </c>
      <c r="C18" s="87">
        <v>0</v>
      </c>
      <c r="D18" s="87">
        <v>4826155</v>
      </c>
      <c r="E18" s="87"/>
      <c r="F18" s="97">
        <v>0</v>
      </c>
      <c r="G18" s="97"/>
      <c r="H18" s="97"/>
      <c r="I18" s="24">
        <f t="shared" si="0"/>
        <v>-4826155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22" t="s">
        <v>554</v>
      </c>
      <c r="B19" s="23" t="s">
        <v>555</v>
      </c>
      <c r="C19" s="87">
        <v>0</v>
      </c>
      <c r="D19" s="87">
        <v>14564979.560000001</v>
      </c>
      <c r="E19" s="87">
        <v>12910265.27</v>
      </c>
      <c r="F19" s="97">
        <v>2096523.82</v>
      </c>
      <c r="G19" s="97"/>
      <c r="H19" s="97"/>
      <c r="I19" s="24">
        <f t="shared" si="0"/>
        <v>-12468455.74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9" t="s">
        <v>556</v>
      </c>
      <c r="B20" s="20" t="s">
        <v>557</v>
      </c>
      <c r="C20" s="85">
        <v>83046500</v>
      </c>
      <c r="D20" s="85">
        <v>83046500</v>
      </c>
      <c r="E20" s="85">
        <v>0</v>
      </c>
      <c r="F20" s="95">
        <v>83046500</v>
      </c>
      <c r="G20" s="95">
        <f>+G21+G22</f>
        <v>0</v>
      </c>
      <c r="H20" s="95">
        <f>ROUND(H21+H22,2)</f>
        <v>0</v>
      </c>
      <c r="I20" s="21">
        <f t="shared" si="0"/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22" t="s">
        <v>558</v>
      </c>
      <c r="B21" s="23" t="s">
        <v>559</v>
      </c>
      <c r="C21" s="87">
        <v>8000000</v>
      </c>
      <c r="D21" s="87">
        <v>8000000</v>
      </c>
      <c r="E21" s="87"/>
      <c r="F21" s="97">
        <v>8000000</v>
      </c>
      <c r="G21" s="97"/>
      <c r="H21" s="97"/>
      <c r="I21" s="24">
        <f t="shared" si="0"/>
        <v>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22" t="s">
        <v>560</v>
      </c>
      <c r="B22" s="23" t="s">
        <v>561</v>
      </c>
      <c r="C22" s="87">
        <v>75046500</v>
      </c>
      <c r="D22" s="87">
        <v>75046500</v>
      </c>
      <c r="E22" s="87"/>
      <c r="F22" s="97">
        <v>75046500</v>
      </c>
      <c r="G22" s="97"/>
      <c r="H22" s="97"/>
      <c r="I22" s="24">
        <f t="shared" si="0"/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22" t="s">
        <v>562</v>
      </c>
      <c r="B23" s="23" t="s">
        <v>563</v>
      </c>
      <c r="C23" s="87">
        <v>0</v>
      </c>
      <c r="D23" s="87">
        <v>0</v>
      </c>
      <c r="E23" s="87"/>
      <c r="F23" s="97">
        <v>0</v>
      </c>
      <c r="G23" s="97"/>
      <c r="H23" s="97"/>
      <c r="I23" s="24">
        <f t="shared" si="0"/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25" t="s">
        <v>564</v>
      </c>
      <c r="B24" s="26" t="s">
        <v>565</v>
      </c>
      <c r="C24" s="88">
        <v>16265813</v>
      </c>
      <c r="D24" s="88">
        <v>8740288.3300000001</v>
      </c>
      <c r="E24" s="88"/>
      <c r="F24" s="98">
        <v>0</v>
      </c>
      <c r="G24" s="98"/>
      <c r="H24" s="98"/>
      <c r="I24" s="27">
        <f t="shared" si="0"/>
        <v>-8740288.3300000001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3" t="s">
        <v>566</v>
      </c>
      <c r="B25" s="14" t="s">
        <v>567</v>
      </c>
      <c r="C25" s="86">
        <v>0</v>
      </c>
      <c r="D25" s="86">
        <v>3948176.89</v>
      </c>
      <c r="E25" s="86">
        <v>3637859.89</v>
      </c>
      <c r="F25" s="96">
        <v>100000</v>
      </c>
      <c r="G25" s="96">
        <f>+G26+G31+G34</f>
        <v>0</v>
      </c>
      <c r="H25" s="96">
        <f>ROUND(+H26+H31+H34,2)</f>
        <v>0</v>
      </c>
      <c r="I25" s="15">
        <f t="shared" si="0"/>
        <v>-3848176.89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28" t="s">
        <v>568</v>
      </c>
      <c r="B26" s="29" t="s">
        <v>569</v>
      </c>
      <c r="C26" s="86">
        <v>0</v>
      </c>
      <c r="D26" s="86">
        <v>207577</v>
      </c>
      <c r="E26" s="86">
        <v>0</v>
      </c>
      <c r="F26" s="96">
        <v>0</v>
      </c>
      <c r="G26" s="96">
        <f>+G27+G28+G29+G30</f>
        <v>0</v>
      </c>
      <c r="H26" s="96">
        <f>ROUND(+H27+H28+H29+H30,2)</f>
        <v>0</v>
      </c>
      <c r="I26" s="30">
        <f t="shared" si="0"/>
        <v>-207577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22" t="s">
        <v>570</v>
      </c>
      <c r="B27" s="23" t="s">
        <v>571</v>
      </c>
      <c r="C27" s="87">
        <v>0</v>
      </c>
      <c r="D27" s="87">
        <v>0</v>
      </c>
      <c r="E27" s="87"/>
      <c r="F27" s="97">
        <v>0</v>
      </c>
      <c r="G27" s="97"/>
      <c r="H27" s="97"/>
      <c r="I27" s="24">
        <f t="shared" si="0"/>
        <v>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31" t="s">
        <v>572</v>
      </c>
      <c r="B28" s="32" t="s">
        <v>485</v>
      </c>
      <c r="C28" s="87">
        <v>0</v>
      </c>
      <c r="D28" s="87">
        <v>0</v>
      </c>
      <c r="E28" s="87"/>
      <c r="F28" s="97">
        <v>0</v>
      </c>
      <c r="G28" s="97"/>
      <c r="H28" s="97"/>
      <c r="I28" s="33">
        <f t="shared" si="0"/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31" t="s">
        <v>573</v>
      </c>
      <c r="B29" s="32" t="s">
        <v>486</v>
      </c>
      <c r="C29" s="87">
        <v>0</v>
      </c>
      <c r="D29" s="87">
        <v>207577</v>
      </c>
      <c r="E29" s="87"/>
      <c r="F29" s="97">
        <v>0</v>
      </c>
      <c r="G29" s="97"/>
      <c r="H29" s="97"/>
      <c r="I29" s="33">
        <f t="shared" si="0"/>
        <v>-207577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22" t="s">
        <v>574</v>
      </c>
      <c r="B30" s="23" t="s">
        <v>575</v>
      </c>
      <c r="C30" s="87">
        <v>0</v>
      </c>
      <c r="D30" s="87">
        <v>0</v>
      </c>
      <c r="E30" s="87"/>
      <c r="F30" s="97">
        <v>0</v>
      </c>
      <c r="G30" s="97"/>
      <c r="H30" s="97"/>
      <c r="I30" s="24">
        <f t="shared" si="0"/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28" t="s">
        <v>576</v>
      </c>
      <c r="B31" s="29" t="s">
        <v>577</v>
      </c>
      <c r="C31" s="86">
        <v>0</v>
      </c>
      <c r="D31" s="86">
        <v>0</v>
      </c>
      <c r="E31" s="86">
        <v>0</v>
      </c>
      <c r="F31" s="96">
        <v>0</v>
      </c>
      <c r="G31" s="96">
        <f>+G32+G33</f>
        <v>0</v>
      </c>
      <c r="H31" s="96">
        <f>ROUND(+H32+H33,2)</f>
        <v>0</v>
      </c>
      <c r="I31" s="30">
        <f t="shared" si="0"/>
        <v>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34" t="s">
        <v>578</v>
      </c>
      <c r="B32" s="35" t="s">
        <v>579</v>
      </c>
      <c r="C32" s="87">
        <v>0</v>
      </c>
      <c r="D32" s="87">
        <v>0</v>
      </c>
      <c r="E32" s="87"/>
      <c r="F32" s="97">
        <v>0</v>
      </c>
      <c r="G32" s="97"/>
      <c r="H32" s="97"/>
      <c r="I32" s="36">
        <f t="shared" si="0"/>
        <v>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34" t="s">
        <v>580</v>
      </c>
      <c r="B33" s="35" t="s">
        <v>581</v>
      </c>
      <c r="C33" s="87">
        <v>0</v>
      </c>
      <c r="D33" s="87">
        <v>0</v>
      </c>
      <c r="E33" s="87"/>
      <c r="F33" s="97">
        <v>0</v>
      </c>
      <c r="G33" s="97"/>
      <c r="H33" s="97"/>
      <c r="I33" s="36">
        <f t="shared" si="0"/>
        <v>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28" t="s">
        <v>582</v>
      </c>
      <c r="B34" s="29" t="s">
        <v>583</v>
      </c>
      <c r="C34" s="86">
        <v>0</v>
      </c>
      <c r="D34" s="86">
        <v>3740599.89</v>
      </c>
      <c r="E34" s="86">
        <v>3637859.89</v>
      </c>
      <c r="F34" s="96">
        <v>100000</v>
      </c>
      <c r="G34" s="96">
        <f>+G35+G36+G39+G40+G41</f>
        <v>0</v>
      </c>
      <c r="H34" s="96">
        <f>ROUND(+H35+H36+H39+H40+H41,2)</f>
        <v>0</v>
      </c>
      <c r="I34" s="30">
        <f t="shared" si="0"/>
        <v>-3640599.89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37" t="s">
        <v>584</v>
      </c>
      <c r="B35" s="38" t="s">
        <v>585</v>
      </c>
      <c r="C35" s="87">
        <v>0</v>
      </c>
      <c r="D35" s="87">
        <v>66140</v>
      </c>
      <c r="E35" s="87"/>
      <c r="F35" s="97">
        <v>0</v>
      </c>
      <c r="G35" s="97"/>
      <c r="H35" s="97"/>
      <c r="I35" s="39">
        <f t="shared" si="0"/>
        <v>-66140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40" t="s">
        <v>586</v>
      </c>
      <c r="B36" s="29" t="s">
        <v>587</v>
      </c>
      <c r="C36" s="85">
        <v>0</v>
      </c>
      <c r="D36" s="85">
        <v>3674459.89</v>
      </c>
      <c r="E36" s="85">
        <v>3637859.89</v>
      </c>
      <c r="F36" s="95">
        <v>100000</v>
      </c>
      <c r="G36" s="95">
        <f>+G37+G38</f>
        <v>0</v>
      </c>
      <c r="H36" s="95">
        <f>ROUND(H37+H38,2)</f>
        <v>0</v>
      </c>
      <c r="I36" s="41">
        <f t="shared" si="0"/>
        <v>-3574459.89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31" t="s">
        <v>588</v>
      </c>
      <c r="B37" s="32" t="s">
        <v>589</v>
      </c>
      <c r="C37" s="87">
        <v>0</v>
      </c>
      <c r="D37" s="87">
        <v>3567859.89</v>
      </c>
      <c r="E37" s="87">
        <v>3567859.89</v>
      </c>
      <c r="F37" s="97">
        <v>0</v>
      </c>
      <c r="G37" s="97"/>
      <c r="H37" s="97"/>
      <c r="I37" s="33">
        <f t="shared" si="0"/>
        <v>-3567859.89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31" t="s">
        <v>590</v>
      </c>
      <c r="B38" s="32" t="s">
        <v>591</v>
      </c>
      <c r="C38" s="87">
        <v>0</v>
      </c>
      <c r="D38" s="87">
        <v>106600</v>
      </c>
      <c r="E38" s="87">
        <v>70000</v>
      </c>
      <c r="F38" s="97">
        <v>100000</v>
      </c>
      <c r="G38" s="97"/>
      <c r="H38" s="97"/>
      <c r="I38" s="33">
        <f t="shared" si="0"/>
        <v>-6600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22" t="s">
        <v>592</v>
      </c>
      <c r="B39" s="23" t="s">
        <v>593</v>
      </c>
      <c r="C39" s="87">
        <v>0</v>
      </c>
      <c r="D39" s="87">
        <v>0</v>
      </c>
      <c r="E39" s="87"/>
      <c r="F39" s="97">
        <v>0</v>
      </c>
      <c r="G39" s="97"/>
      <c r="H39" s="97"/>
      <c r="I39" s="24">
        <f t="shared" si="0"/>
        <v>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31" t="s">
        <v>594</v>
      </c>
      <c r="B40" s="32" t="s">
        <v>595</v>
      </c>
      <c r="C40" s="87">
        <v>0</v>
      </c>
      <c r="D40" s="87">
        <v>0</v>
      </c>
      <c r="E40" s="87"/>
      <c r="F40" s="97">
        <v>0</v>
      </c>
      <c r="G40" s="97"/>
      <c r="H40" s="97"/>
      <c r="I40" s="33">
        <f t="shared" si="0"/>
        <v>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37" t="s">
        <v>596</v>
      </c>
      <c r="B41" s="38" t="s">
        <v>597</v>
      </c>
      <c r="C41" s="87">
        <v>0</v>
      </c>
      <c r="D41" s="87">
        <v>0</v>
      </c>
      <c r="E41" s="87"/>
      <c r="F41" s="97">
        <v>0</v>
      </c>
      <c r="G41" s="97"/>
      <c r="H41" s="97"/>
      <c r="I41" s="39">
        <f t="shared" si="0"/>
        <v>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3" t="s">
        <v>598</v>
      </c>
      <c r="B42" s="14" t="s">
        <v>599</v>
      </c>
      <c r="C42" s="86">
        <v>650000</v>
      </c>
      <c r="D42" s="86">
        <v>658254.65</v>
      </c>
      <c r="E42" s="86">
        <v>0</v>
      </c>
      <c r="F42" s="96">
        <v>666750</v>
      </c>
      <c r="G42" s="96">
        <f>+G43+G44+G45+G46</f>
        <v>0</v>
      </c>
      <c r="H42" s="96">
        <f>ROUND(+H43+H44+H45+H46,2)</f>
        <v>0</v>
      </c>
      <c r="I42" s="15">
        <f t="shared" si="0"/>
        <v>8495.3499999999767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42" t="s">
        <v>600</v>
      </c>
      <c r="B43" s="43" t="s">
        <v>601</v>
      </c>
      <c r="C43" s="88">
        <v>0</v>
      </c>
      <c r="D43" s="88">
        <v>0</v>
      </c>
      <c r="E43" s="88"/>
      <c r="F43" s="98">
        <v>0</v>
      </c>
      <c r="G43" s="98"/>
      <c r="H43" s="98"/>
      <c r="I43" s="44">
        <f t="shared" si="0"/>
        <v>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42" t="s">
        <v>602</v>
      </c>
      <c r="B44" s="43" t="s">
        <v>603</v>
      </c>
      <c r="C44" s="88">
        <v>0</v>
      </c>
      <c r="D44" s="88">
        <v>0</v>
      </c>
      <c r="E44" s="88"/>
      <c r="F44" s="98">
        <v>0</v>
      </c>
      <c r="G44" s="98"/>
      <c r="H44" s="98"/>
      <c r="I44" s="44">
        <f t="shared" si="0"/>
        <v>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25" t="s">
        <v>604</v>
      </c>
      <c r="B45" s="26" t="s">
        <v>605</v>
      </c>
      <c r="C45" s="88">
        <v>350000</v>
      </c>
      <c r="D45" s="88">
        <v>334121.45</v>
      </c>
      <c r="E45" s="88"/>
      <c r="F45" s="98">
        <v>300000</v>
      </c>
      <c r="G45" s="98"/>
      <c r="H45" s="98"/>
      <c r="I45" s="27">
        <f t="shared" si="0"/>
        <v>-34121.450000000012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25" t="s">
        <v>606</v>
      </c>
      <c r="B46" s="26" t="s">
        <v>607</v>
      </c>
      <c r="C46" s="88">
        <v>300000</v>
      </c>
      <c r="D46" s="88">
        <v>324133.2</v>
      </c>
      <c r="E46" s="88"/>
      <c r="F46" s="98">
        <v>366750</v>
      </c>
      <c r="G46" s="98"/>
      <c r="H46" s="98"/>
      <c r="I46" s="27">
        <f t="shared" si="0"/>
        <v>42616.799999999988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3" t="s">
        <v>608</v>
      </c>
      <c r="B47" s="14" t="s">
        <v>609</v>
      </c>
      <c r="C47" s="86">
        <v>500000</v>
      </c>
      <c r="D47" s="86">
        <v>583800.84</v>
      </c>
      <c r="E47" s="86">
        <v>109819.6</v>
      </c>
      <c r="F47" s="96">
        <v>571738.34</v>
      </c>
      <c r="G47" s="96"/>
      <c r="H47" s="96"/>
      <c r="I47" s="15">
        <f t="shared" si="0"/>
        <v>-12062.5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0" t="s">
        <v>610</v>
      </c>
      <c r="B48" s="11" t="s">
        <v>611</v>
      </c>
      <c r="C48" s="85">
        <v>-7444791.0499999998</v>
      </c>
      <c r="D48" s="85">
        <v>-8884975.8900000006</v>
      </c>
      <c r="E48" s="85">
        <v>-578567.68999999994</v>
      </c>
      <c r="F48" s="95">
        <v>-4000000</v>
      </c>
      <c r="G48" s="95">
        <f>+G49+G50</f>
        <v>0</v>
      </c>
      <c r="H48" s="95">
        <f>ROUND(+H49+H50,2)</f>
        <v>-20973.64</v>
      </c>
      <c r="I48" s="12">
        <f t="shared" si="0"/>
        <v>4884975.8900000006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25" t="s">
        <v>612</v>
      </c>
      <c r="B49" s="26" t="s">
        <v>613</v>
      </c>
      <c r="C49" s="88">
        <v>-7444791.0499999998</v>
      </c>
      <c r="D49" s="88">
        <v>-8857358.3699999992</v>
      </c>
      <c r="E49" s="88">
        <v>-578567.68999999994</v>
      </c>
      <c r="F49" s="98">
        <v>-4000000</v>
      </c>
      <c r="G49" s="98"/>
      <c r="H49" s="98">
        <f>-280-20693.64</f>
        <v>-20973.64</v>
      </c>
      <c r="I49" s="27">
        <f t="shared" si="0"/>
        <v>4857358.3699999992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25" t="s">
        <v>614</v>
      </c>
      <c r="B50" s="26" t="s">
        <v>615</v>
      </c>
      <c r="C50" s="88">
        <v>0</v>
      </c>
      <c r="D50" s="88">
        <v>-27617.52</v>
      </c>
      <c r="E50" s="88"/>
      <c r="F50" s="98">
        <v>0</v>
      </c>
      <c r="G50" s="98"/>
      <c r="H50" s="98"/>
      <c r="I50" s="27">
        <f t="shared" si="0"/>
        <v>27617.52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0" t="s">
        <v>616</v>
      </c>
      <c r="B51" s="11" t="s">
        <v>617</v>
      </c>
      <c r="C51" s="85">
        <v>1200000</v>
      </c>
      <c r="D51" s="85">
        <v>7590440.0300000003</v>
      </c>
      <c r="E51" s="85">
        <v>6740632.4000000004</v>
      </c>
      <c r="F51" s="95">
        <v>2457833.2999999998</v>
      </c>
      <c r="G51" s="95">
        <f>+G52+G53+G54+G58+G57</f>
        <v>1637577.15</v>
      </c>
      <c r="H51" s="95">
        <f>ROUND(+H52+H53+H54+H57+H58,2)</f>
        <v>0</v>
      </c>
      <c r="I51" s="12">
        <f t="shared" si="0"/>
        <v>-5132606.7300000004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25" t="s">
        <v>618</v>
      </c>
      <c r="B52" s="26" t="s">
        <v>619</v>
      </c>
      <c r="C52" s="88">
        <v>640000</v>
      </c>
      <c r="D52" s="88">
        <v>7173502.8099999996</v>
      </c>
      <c r="E52" s="88">
        <v>6740632.4000000004</v>
      </c>
      <c r="F52" s="98">
        <v>2000311.8</v>
      </c>
      <c r="G52" s="98">
        <v>1637577.15</v>
      </c>
      <c r="H52" s="98"/>
      <c r="I52" s="27">
        <f t="shared" si="0"/>
        <v>-5173191.01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25" t="s">
        <v>620</v>
      </c>
      <c r="B53" s="26" t="s">
        <v>621</v>
      </c>
      <c r="C53" s="88">
        <v>0</v>
      </c>
      <c r="D53" s="88">
        <v>44132.07</v>
      </c>
      <c r="E53" s="88"/>
      <c r="F53" s="98">
        <v>0</v>
      </c>
      <c r="G53" s="98"/>
      <c r="H53" s="98"/>
      <c r="I53" s="27">
        <f t="shared" si="0"/>
        <v>-44132.07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28" t="s">
        <v>622</v>
      </c>
      <c r="B54" s="29" t="s">
        <v>623</v>
      </c>
      <c r="C54" s="86">
        <v>340000</v>
      </c>
      <c r="D54" s="86">
        <v>323408.46999999997</v>
      </c>
      <c r="E54" s="86">
        <v>0</v>
      </c>
      <c r="F54" s="96">
        <v>0</v>
      </c>
      <c r="G54" s="96">
        <f>+G55+G56</f>
        <v>0</v>
      </c>
      <c r="H54" s="96">
        <f>ROUND(H55+H56,2)</f>
        <v>0</v>
      </c>
      <c r="I54" s="30">
        <f t="shared" si="0"/>
        <v>-323408.46999999997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25" t="s">
        <v>624</v>
      </c>
      <c r="B55" s="26" t="s">
        <v>625</v>
      </c>
      <c r="C55" s="88">
        <v>340000</v>
      </c>
      <c r="D55" s="88">
        <v>323408.46999999997</v>
      </c>
      <c r="E55" s="88"/>
      <c r="F55" s="98">
        <v>0</v>
      </c>
      <c r="G55" s="98"/>
      <c r="H55" s="98"/>
      <c r="I55" s="27">
        <f t="shared" si="0"/>
        <v>-323408.46999999997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25" t="s">
        <v>626</v>
      </c>
      <c r="B56" s="26" t="s">
        <v>627</v>
      </c>
      <c r="C56" s="88">
        <v>0</v>
      </c>
      <c r="D56" s="88">
        <v>0</v>
      </c>
      <c r="E56" s="88"/>
      <c r="F56" s="98">
        <v>0</v>
      </c>
      <c r="G56" s="98"/>
      <c r="H56" s="98"/>
      <c r="I56" s="27">
        <f t="shared" si="0"/>
        <v>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25" t="s">
        <v>628</v>
      </c>
      <c r="B57" s="26" t="s">
        <v>629</v>
      </c>
      <c r="C57" s="88">
        <v>0</v>
      </c>
      <c r="D57" s="88">
        <v>0</v>
      </c>
      <c r="E57" s="88"/>
      <c r="F57" s="98">
        <v>394171.95</v>
      </c>
      <c r="G57" s="98"/>
      <c r="H57" s="98"/>
      <c r="I57" s="27">
        <f t="shared" si="0"/>
        <v>394171.95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25" t="s">
        <v>630</v>
      </c>
      <c r="B58" s="26" t="s">
        <v>631</v>
      </c>
      <c r="C58" s="88">
        <v>220000</v>
      </c>
      <c r="D58" s="88">
        <v>49396.68</v>
      </c>
      <c r="E58" s="88"/>
      <c r="F58" s="98">
        <v>63349.55</v>
      </c>
      <c r="G58" s="98"/>
      <c r="H58" s="98"/>
      <c r="I58" s="27">
        <f t="shared" si="0"/>
        <v>13952.870000000003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0" t="s">
        <v>632</v>
      </c>
      <c r="B59" s="11" t="s">
        <v>633</v>
      </c>
      <c r="C59" s="85">
        <v>452725550</v>
      </c>
      <c r="D59" s="85">
        <v>473104939.76999998</v>
      </c>
      <c r="E59" s="85">
        <v>0</v>
      </c>
      <c r="F59" s="95">
        <v>489238461.81999999</v>
      </c>
      <c r="G59" s="95">
        <f>+G60+G101+G107+G108</f>
        <v>0</v>
      </c>
      <c r="H59" s="95">
        <f>ROUND(+H60+H101+H107+H108,2)</f>
        <v>0</v>
      </c>
      <c r="I59" s="12">
        <f t="shared" si="0"/>
        <v>16133522.050000012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3" t="s">
        <v>634</v>
      </c>
      <c r="B60" s="14" t="s">
        <v>635</v>
      </c>
      <c r="C60" s="86">
        <v>434864050</v>
      </c>
      <c r="D60" s="86">
        <v>452528550.12</v>
      </c>
      <c r="E60" s="86">
        <v>0</v>
      </c>
      <c r="F60" s="96">
        <v>467716843.91000003</v>
      </c>
      <c r="G60" s="96">
        <f>+G61+G79+G80</f>
        <v>0</v>
      </c>
      <c r="H60" s="96">
        <f>ROUND(+H61+H79+H80,2)</f>
        <v>0</v>
      </c>
      <c r="I60" s="15">
        <f t="shared" si="0"/>
        <v>15188293.790000021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3" t="s">
        <v>636</v>
      </c>
      <c r="B61" s="14" t="s">
        <v>637</v>
      </c>
      <c r="C61" s="86">
        <v>377125341</v>
      </c>
      <c r="D61" s="86">
        <v>387998266.81</v>
      </c>
      <c r="E61" s="86">
        <v>0</v>
      </c>
      <c r="F61" s="96">
        <v>398115485.91000003</v>
      </c>
      <c r="G61" s="96">
        <f>+SUM(G62:G76)</f>
        <v>0</v>
      </c>
      <c r="H61" s="96">
        <f>ROUND(SUM(H62:H76),2)</f>
        <v>0</v>
      </c>
      <c r="I61" s="15">
        <f t="shared" si="0"/>
        <v>10117219.100000024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22" t="s">
        <v>638</v>
      </c>
      <c r="B62" s="23" t="s">
        <v>639</v>
      </c>
      <c r="C62" s="87">
        <v>201542054</v>
      </c>
      <c r="D62" s="87">
        <v>209582602</v>
      </c>
      <c r="E62" s="87"/>
      <c r="F62" s="97">
        <v>215475614</v>
      </c>
      <c r="G62" s="97"/>
      <c r="H62" s="97"/>
      <c r="I62" s="24">
        <f t="shared" si="0"/>
        <v>5893012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22" t="s">
        <v>640</v>
      </c>
      <c r="B63" s="23" t="s">
        <v>641</v>
      </c>
      <c r="C63" s="87">
        <v>68960097</v>
      </c>
      <c r="D63" s="87">
        <v>71888501</v>
      </c>
      <c r="E63" s="87"/>
      <c r="F63" s="97">
        <v>73366151</v>
      </c>
      <c r="G63" s="97"/>
      <c r="H63" s="97"/>
      <c r="I63" s="24">
        <f t="shared" si="0"/>
        <v>1477650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22" t="s">
        <v>642</v>
      </c>
      <c r="B64" s="23" t="s">
        <v>643</v>
      </c>
      <c r="C64" s="87">
        <v>7046414</v>
      </c>
      <c r="D64" s="87">
        <v>7473583</v>
      </c>
      <c r="E64" s="87"/>
      <c r="F64" s="97">
        <v>7907320</v>
      </c>
      <c r="G64" s="97"/>
      <c r="H64" s="97"/>
      <c r="I64" s="24">
        <f t="shared" si="0"/>
        <v>433737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22" t="s">
        <v>644</v>
      </c>
      <c r="B65" s="23" t="s">
        <v>645</v>
      </c>
      <c r="C65" s="87">
        <v>0</v>
      </c>
      <c r="D65" s="87">
        <v>0</v>
      </c>
      <c r="E65" s="87"/>
      <c r="F65" s="97">
        <v>0</v>
      </c>
      <c r="G65" s="97"/>
      <c r="H65" s="97"/>
      <c r="I65" s="24">
        <f t="shared" si="0"/>
        <v>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22" t="s">
        <v>646</v>
      </c>
      <c r="B66" s="23" t="s">
        <v>647</v>
      </c>
      <c r="C66" s="87">
        <v>89049275</v>
      </c>
      <c r="D66" s="87">
        <v>89023806</v>
      </c>
      <c r="E66" s="87"/>
      <c r="F66" s="97">
        <v>93708706</v>
      </c>
      <c r="G66" s="97"/>
      <c r="H66" s="97"/>
      <c r="I66" s="24">
        <f t="shared" si="0"/>
        <v>4684900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22" t="s">
        <v>648</v>
      </c>
      <c r="B67" s="23" t="s">
        <v>649</v>
      </c>
      <c r="C67" s="87">
        <v>0</v>
      </c>
      <c r="D67" s="87">
        <v>0</v>
      </c>
      <c r="E67" s="87"/>
      <c r="F67" s="97">
        <v>0</v>
      </c>
      <c r="G67" s="97"/>
      <c r="H67" s="97"/>
      <c r="I67" s="24">
        <f t="shared" si="0"/>
        <v>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22" t="s">
        <v>650</v>
      </c>
      <c r="B68" s="23" t="s">
        <v>651</v>
      </c>
      <c r="C68" s="87">
        <v>0</v>
      </c>
      <c r="D68" s="87">
        <v>0</v>
      </c>
      <c r="E68" s="87"/>
      <c r="F68" s="97">
        <v>0</v>
      </c>
      <c r="G68" s="97"/>
      <c r="H68" s="97"/>
      <c r="I68" s="24">
        <f t="shared" si="0"/>
        <v>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22" t="s">
        <v>652</v>
      </c>
      <c r="B69" s="23" t="s">
        <v>653</v>
      </c>
      <c r="C69" s="87">
        <v>0</v>
      </c>
      <c r="D69" s="87">
        <v>0</v>
      </c>
      <c r="E69" s="87"/>
      <c r="F69" s="97">
        <v>0</v>
      </c>
      <c r="G69" s="97"/>
      <c r="H69" s="97"/>
      <c r="I69" s="24">
        <f t="shared" si="0"/>
        <v>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22" t="s">
        <v>654</v>
      </c>
      <c r="B70" s="23" t="s">
        <v>655</v>
      </c>
      <c r="C70" s="87">
        <v>949501</v>
      </c>
      <c r="D70" s="87">
        <v>1195644</v>
      </c>
      <c r="E70" s="87"/>
      <c r="F70" s="97">
        <v>1145136</v>
      </c>
      <c r="G70" s="97"/>
      <c r="H70" s="97"/>
      <c r="I70" s="24">
        <f t="shared" si="0"/>
        <v>-50508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34" t="s">
        <v>656</v>
      </c>
      <c r="B71" s="35" t="s">
        <v>657</v>
      </c>
      <c r="C71" s="87">
        <v>0</v>
      </c>
      <c r="D71" s="87">
        <v>0</v>
      </c>
      <c r="E71" s="87"/>
      <c r="F71" s="97">
        <v>0</v>
      </c>
      <c r="G71" s="97"/>
      <c r="H71" s="97"/>
      <c r="I71" s="36">
        <f t="shared" si="0"/>
        <v>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34" t="s">
        <v>658</v>
      </c>
      <c r="B72" s="35" t="s">
        <v>659</v>
      </c>
      <c r="C72" s="87">
        <v>0</v>
      </c>
      <c r="D72" s="87">
        <v>0</v>
      </c>
      <c r="E72" s="87"/>
      <c r="F72" s="97">
        <v>0</v>
      </c>
      <c r="G72" s="97"/>
      <c r="H72" s="97"/>
      <c r="I72" s="36">
        <f t="shared" si="0"/>
        <v>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22" t="s">
        <v>660</v>
      </c>
      <c r="B73" s="23" t="s">
        <v>661</v>
      </c>
      <c r="C73" s="87">
        <v>0</v>
      </c>
      <c r="D73" s="87">
        <v>0</v>
      </c>
      <c r="E73" s="87"/>
      <c r="F73" s="97">
        <v>0</v>
      </c>
      <c r="G73" s="97"/>
      <c r="H73" s="97"/>
      <c r="I73" s="24">
        <f t="shared" si="0"/>
        <v>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34" t="s">
        <v>662</v>
      </c>
      <c r="B74" s="35" t="s">
        <v>663</v>
      </c>
      <c r="C74" s="87">
        <v>0</v>
      </c>
      <c r="D74" s="87">
        <v>0</v>
      </c>
      <c r="E74" s="87"/>
      <c r="F74" s="97">
        <v>0</v>
      </c>
      <c r="G74" s="97"/>
      <c r="H74" s="97"/>
      <c r="I74" s="36">
        <f t="shared" si="0"/>
        <v>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34" t="s">
        <v>664</v>
      </c>
      <c r="B75" s="35" t="s">
        <v>665</v>
      </c>
      <c r="C75" s="87">
        <v>0</v>
      </c>
      <c r="D75" s="87">
        <v>0</v>
      </c>
      <c r="E75" s="87"/>
      <c r="F75" s="97">
        <v>0</v>
      </c>
      <c r="G75" s="97"/>
      <c r="H75" s="97"/>
      <c r="I75" s="36">
        <f t="shared" si="0"/>
        <v>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9" t="s">
        <v>666</v>
      </c>
      <c r="B76" s="20" t="s">
        <v>667</v>
      </c>
      <c r="C76" s="85">
        <v>9578000</v>
      </c>
      <c r="D76" s="85">
        <v>8834130.8100000005</v>
      </c>
      <c r="E76" s="85">
        <v>0</v>
      </c>
      <c r="F76" s="95">
        <v>6512558.9100000001</v>
      </c>
      <c r="G76" s="95">
        <f>+G77+G78</f>
        <v>0</v>
      </c>
      <c r="H76" s="95">
        <f>ROUND(H77+H78,2)</f>
        <v>0</v>
      </c>
      <c r="I76" s="21">
        <f t="shared" si="0"/>
        <v>-2321571.9000000004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37" t="s">
        <v>668</v>
      </c>
      <c r="B77" s="38" t="s">
        <v>669</v>
      </c>
      <c r="C77" s="87">
        <v>0</v>
      </c>
      <c r="D77" s="87">
        <v>0</v>
      </c>
      <c r="E77" s="87"/>
      <c r="F77" s="97">
        <v>0</v>
      </c>
      <c r="G77" s="97"/>
      <c r="H77" s="97"/>
      <c r="I77" s="39">
        <f t="shared" si="0"/>
        <v>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34" t="s">
        <v>670</v>
      </c>
      <c r="B78" s="35" t="s">
        <v>671</v>
      </c>
      <c r="C78" s="87">
        <v>9578000</v>
      </c>
      <c r="D78" s="87">
        <v>8834130.8100000005</v>
      </c>
      <c r="E78" s="87"/>
      <c r="F78" s="97">
        <v>6512558.9100000001</v>
      </c>
      <c r="G78" s="97"/>
      <c r="H78" s="97"/>
      <c r="I78" s="36">
        <f t="shared" si="0"/>
        <v>-2321571.9000000004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28" t="s">
        <v>672</v>
      </c>
      <c r="B79" s="29" t="s">
        <v>673</v>
      </c>
      <c r="C79" s="86">
        <v>150000</v>
      </c>
      <c r="D79" s="86">
        <v>191097.72</v>
      </c>
      <c r="E79" s="86"/>
      <c r="F79" s="96">
        <v>190000</v>
      </c>
      <c r="G79" s="96"/>
      <c r="H79" s="96"/>
      <c r="I79" s="30">
        <f t="shared" si="0"/>
        <v>-1097.7200000000012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3" t="s">
        <v>674</v>
      </c>
      <c r="B80" s="14" t="s">
        <v>675</v>
      </c>
      <c r="C80" s="86">
        <v>57588709</v>
      </c>
      <c r="D80" s="86">
        <v>64339185.590000004</v>
      </c>
      <c r="E80" s="86">
        <v>0</v>
      </c>
      <c r="F80" s="96">
        <v>69411358</v>
      </c>
      <c r="G80" s="96">
        <f>SUM(G81:G95,G98,G99,G100)</f>
        <v>0</v>
      </c>
      <c r="H80" s="96">
        <f>ROUND(SUM(H81:H95)+H98+H99+H100,2)</f>
        <v>0</v>
      </c>
      <c r="I80" s="15">
        <f t="shared" si="0"/>
        <v>5072172.4099999964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22" t="s">
        <v>676</v>
      </c>
      <c r="B81" s="23" t="s">
        <v>677</v>
      </c>
      <c r="C81" s="87">
        <v>39828163</v>
      </c>
      <c r="D81" s="87">
        <v>45216855</v>
      </c>
      <c r="E81" s="87"/>
      <c r="F81" s="97">
        <v>50347371</v>
      </c>
      <c r="G81" s="97"/>
      <c r="H81" s="97"/>
      <c r="I81" s="24">
        <f t="shared" si="0"/>
        <v>5130516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22" t="s">
        <v>678</v>
      </c>
      <c r="B82" s="23" t="s">
        <v>679</v>
      </c>
      <c r="C82" s="87">
        <v>7824439</v>
      </c>
      <c r="D82" s="87">
        <v>8569331</v>
      </c>
      <c r="E82" s="87"/>
      <c r="F82" s="97">
        <v>8386534</v>
      </c>
      <c r="G82" s="97"/>
      <c r="H82" s="97"/>
      <c r="I82" s="24">
        <f t="shared" si="0"/>
        <v>-182797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22" t="s">
        <v>680</v>
      </c>
      <c r="B83" s="23" t="s">
        <v>681</v>
      </c>
      <c r="C83" s="87">
        <v>400546</v>
      </c>
      <c r="D83" s="87">
        <v>467220</v>
      </c>
      <c r="E83" s="87"/>
      <c r="F83" s="97">
        <v>522250</v>
      </c>
      <c r="G83" s="97"/>
      <c r="H83" s="97"/>
      <c r="I83" s="24">
        <f t="shared" si="0"/>
        <v>55030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22" t="s">
        <v>682</v>
      </c>
      <c r="B84" s="23" t="s">
        <v>683</v>
      </c>
      <c r="C84" s="87">
        <v>0</v>
      </c>
      <c r="D84" s="87">
        <v>0</v>
      </c>
      <c r="E84" s="87"/>
      <c r="F84" s="97">
        <v>0</v>
      </c>
      <c r="G84" s="97"/>
      <c r="H84" s="97"/>
      <c r="I84" s="24">
        <f t="shared" si="0"/>
        <v>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22" t="s">
        <v>684</v>
      </c>
      <c r="B85" s="23" t="s">
        <v>685</v>
      </c>
      <c r="C85" s="87">
        <v>7188896</v>
      </c>
      <c r="D85" s="87">
        <v>7537781</v>
      </c>
      <c r="E85" s="87"/>
      <c r="F85" s="97">
        <v>7729186</v>
      </c>
      <c r="G85" s="97"/>
      <c r="H85" s="97"/>
      <c r="I85" s="24">
        <f t="shared" si="0"/>
        <v>191405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22" t="s">
        <v>686</v>
      </c>
      <c r="B86" s="23" t="s">
        <v>687</v>
      </c>
      <c r="C86" s="87">
        <v>0</v>
      </c>
      <c r="D86" s="87">
        <v>0</v>
      </c>
      <c r="E86" s="87"/>
      <c r="F86" s="97">
        <v>0</v>
      </c>
      <c r="G86" s="97"/>
      <c r="H86" s="97"/>
      <c r="I86" s="24">
        <f t="shared" si="0"/>
        <v>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22" t="s">
        <v>688</v>
      </c>
      <c r="B87" s="23" t="s">
        <v>689</v>
      </c>
      <c r="C87" s="87">
        <v>0</v>
      </c>
      <c r="D87" s="87">
        <v>0</v>
      </c>
      <c r="E87" s="87"/>
      <c r="F87" s="97">
        <v>0</v>
      </c>
      <c r="G87" s="97"/>
      <c r="H87" s="97"/>
      <c r="I87" s="24">
        <f t="shared" si="0"/>
        <v>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22" t="s">
        <v>690</v>
      </c>
      <c r="B88" s="23" t="s">
        <v>691</v>
      </c>
      <c r="C88" s="87">
        <v>0</v>
      </c>
      <c r="D88" s="87">
        <v>0</v>
      </c>
      <c r="E88" s="87"/>
      <c r="F88" s="97">
        <v>0</v>
      </c>
      <c r="G88" s="97"/>
      <c r="H88" s="97"/>
      <c r="I88" s="24">
        <f t="shared" si="0"/>
        <v>0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22" t="s">
        <v>692</v>
      </c>
      <c r="B89" s="23" t="s">
        <v>693</v>
      </c>
      <c r="C89" s="87">
        <v>296665</v>
      </c>
      <c r="D89" s="87">
        <v>361869</v>
      </c>
      <c r="E89" s="87"/>
      <c r="F89" s="97">
        <v>376017</v>
      </c>
      <c r="G89" s="97"/>
      <c r="H89" s="97"/>
      <c r="I89" s="24">
        <f t="shared" si="0"/>
        <v>14148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22" t="s">
        <v>694</v>
      </c>
      <c r="B90" s="23" t="s">
        <v>695</v>
      </c>
      <c r="C90" s="87">
        <v>0</v>
      </c>
      <c r="D90" s="87">
        <v>0</v>
      </c>
      <c r="E90" s="87"/>
      <c r="F90" s="97">
        <v>0</v>
      </c>
      <c r="G90" s="97"/>
      <c r="H90" s="97"/>
      <c r="I90" s="24">
        <f t="shared" si="0"/>
        <v>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22" t="s">
        <v>696</v>
      </c>
      <c r="B91" s="23" t="s">
        <v>697</v>
      </c>
      <c r="C91" s="87">
        <v>0</v>
      </c>
      <c r="D91" s="87">
        <v>0</v>
      </c>
      <c r="E91" s="87"/>
      <c r="F91" s="97">
        <v>0</v>
      </c>
      <c r="G91" s="97"/>
      <c r="H91" s="97"/>
      <c r="I91" s="24">
        <f t="shared" si="0"/>
        <v>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22" t="s">
        <v>698</v>
      </c>
      <c r="B92" s="23" t="s">
        <v>699</v>
      </c>
      <c r="C92" s="87">
        <v>0</v>
      </c>
      <c r="D92" s="87">
        <v>0</v>
      </c>
      <c r="E92" s="87"/>
      <c r="F92" s="97">
        <v>0</v>
      </c>
      <c r="G92" s="97"/>
      <c r="H92" s="97"/>
      <c r="I92" s="24">
        <f t="shared" si="0"/>
        <v>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22" t="s">
        <v>700</v>
      </c>
      <c r="B93" s="23" t="s">
        <v>701</v>
      </c>
      <c r="C93" s="87">
        <v>0</v>
      </c>
      <c r="D93" s="87">
        <v>0</v>
      </c>
      <c r="E93" s="87"/>
      <c r="F93" s="97">
        <v>0</v>
      </c>
      <c r="G93" s="97"/>
      <c r="H93" s="97"/>
      <c r="I93" s="24">
        <f t="shared" si="0"/>
        <v>0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22" t="s">
        <v>702</v>
      </c>
      <c r="B94" s="23" t="s">
        <v>703</v>
      </c>
      <c r="C94" s="87">
        <v>0</v>
      </c>
      <c r="D94" s="87">
        <v>0</v>
      </c>
      <c r="E94" s="87"/>
      <c r="F94" s="97">
        <v>0</v>
      </c>
      <c r="G94" s="97"/>
      <c r="H94" s="97"/>
      <c r="I94" s="24">
        <f t="shared" si="0"/>
        <v>0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9" t="s">
        <v>704</v>
      </c>
      <c r="B95" s="20" t="s">
        <v>705</v>
      </c>
      <c r="C95" s="85">
        <v>2050000</v>
      </c>
      <c r="D95" s="85">
        <v>2186129.59</v>
      </c>
      <c r="E95" s="85">
        <v>0</v>
      </c>
      <c r="F95" s="95">
        <v>2050000</v>
      </c>
      <c r="G95" s="95">
        <f>+G96+G97</f>
        <v>0</v>
      </c>
      <c r="H95" s="95">
        <f>ROUND(+H96+H97,2)</f>
        <v>0</v>
      </c>
      <c r="I95" s="21">
        <f t="shared" si="0"/>
        <v>-136129.58999999985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25" t="s">
        <v>706</v>
      </c>
      <c r="B96" s="26" t="s">
        <v>707</v>
      </c>
      <c r="C96" s="88">
        <v>0</v>
      </c>
      <c r="D96" s="88">
        <v>0</v>
      </c>
      <c r="E96" s="88"/>
      <c r="F96" s="98">
        <v>0</v>
      </c>
      <c r="G96" s="98"/>
      <c r="H96" s="98"/>
      <c r="I96" s="27">
        <f t="shared" si="0"/>
        <v>0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25" t="s">
        <v>708</v>
      </c>
      <c r="B97" s="26" t="s">
        <v>709</v>
      </c>
      <c r="C97" s="88">
        <v>2050000</v>
      </c>
      <c r="D97" s="88">
        <v>2186129.59</v>
      </c>
      <c r="E97" s="88"/>
      <c r="F97" s="98">
        <v>2050000</v>
      </c>
      <c r="G97" s="98"/>
      <c r="H97" s="98"/>
      <c r="I97" s="27">
        <f t="shared" si="0"/>
        <v>-136129.58999999985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22" t="s">
        <v>710</v>
      </c>
      <c r="B98" s="23" t="s">
        <v>711</v>
      </c>
      <c r="C98" s="87">
        <v>0</v>
      </c>
      <c r="D98" s="87">
        <v>0</v>
      </c>
      <c r="E98" s="87"/>
      <c r="F98" s="97">
        <v>0</v>
      </c>
      <c r="G98" s="97"/>
      <c r="H98" s="97"/>
      <c r="I98" s="24">
        <f t="shared" si="0"/>
        <v>0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22" t="s">
        <v>712</v>
      </c>
      <c r="B99" s="23" t="s">
        <v>713</v>
      </c>
      <c r="C99" s="87">
        <v>0</v>
      </c>
      <c r="D99" s="87">
        <v>0</v>
      </c>
      <c r="E99" s="87"/>
      <c r="F99" s="97">
        <v>0</v>
      </c>
      <c r="G99" s="97"/>
      <c r="H99" s="97"/>
      <c r="I99" s="24">
        <f t="shared" si="0"/>
        <v>0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22" t="s">
        <v>714</v>
      </c>
      <c r="B100" s="23" t="s">
        <v>715</v>
      </c>
      <c r="C100" s="87">
        <v>0</v>
      </c>
      <c r="D100" s="87">
        <v>0</v>
      </c>
      <c r="E100" s="87"/>
      <c r="F100" s="97">
        <v>0</v>
      </c>
      <c r="G100" s="97"/>
      <c r="H100" s="97"/>
      <c r="I100" s="24">
        <f t="shared" si="0"/>
        <v>0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3" t="s">
        <v>716</v>
      </c>
      <c r="B101" s="14" t="s">
        <v>717</v>
      </c>
      <c r="C101" s="86">
        <v>0</v>
      </c>
      <c r="D101" s="86">
        <v>0</v>
      </c>
      <c r="E101" s="86">
        <v>0</v>
      </c>
      <c r="F101" s="96">
        <v>0</v>
      </c>
      <c r="G101" s="96">
        <f>+G102+G103+G104+G106+G105</f>
        <v>0</v>
      </c>
      <c r="H101" s="96">
        <f>ROUND(SUM(H102:H106),2)</f>
        <v>0</v>
      </c>
      <c r="I101" s="15">
        <f t="shared" si="0"/>
        <v>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22" t="s">
        <v>718</v>
      </c>
      <c r="B102" s="23" t="s">
        <v>719</v>
      </c>
      <c r="C102" s="87">
        <v>0</v>
      </c>
      <c r="D102" s="87">
        <v>0</v>
      </c>
      <c r="E102" s="87"/>
      <c r="F102" s="97">
        <v>0</v>
      </c>
      <c r="G102" s="97"/>
      <c r="H102" s="97"/>
      <c r="I102" s="24">
        <f t="shared" si="0"/>
        <v>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45" t="s">
        <v>720</v>
      </c>
      <c r="B103" s="46" t="s">
        <v>721</v>
      </c>
      <c r="C103" s="88">
        <v>0</v>
      </c>
      <c r="D103" s="88">
        <v>0</v>
      </c>
      <c r="E103" s="88"/>
      <c r="F103" s="98">
        <v>0</v>
      </c>
      <c r="G103" s="98"/>
      <c r="H103" s="98"/>
      <c r="I103" s="47">
        <f t="shared" si="0"/>
        <v>0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45" t="s">
        <v>722</v>
      </c>
      <c r="B104" s="46" t="s">
        <v>723</v>
      </c>
      <c r="C104" s="88">
        <v>0</v>
      </c>
      <c r="D104" s="88">
        <v>0</v>
      </c>
      <c r="E104" s="88"/>
      <c r="F104" s="98">
        <v>0</v>
      </c>
      <c r="G104" s="98"/>
      <c r="H104" s="98"/>
      <c r="I104" s="47">
        <f t="shared" si="0"/>
        <v>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45" t="s">
        <v>724</v>
      </c>
      <c r="B105" s="46" t="s">
        <v>725</v>
      </c>
      <c r="C105" s="88">
        <v>0</v>
      </c>
      <c r="D105" s="88">
        <v>0</v>
      </c>
      <c r="E105" s="88"/>
      <c r="F105" s="98">
        <v>0</v>
      </c>
      <c r="G105" s="98"/>
      <c r="H105" s="98"/>
      <c r="I105" s="47">
        <f t="shared" si="0"/>
        <v>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45" t="s">
        <v>726</v>
      </c>
      <c r="B106" s="46" t="s">
        <v>727</v>
      </c>
      <c r="C106" s="88">
        <v>0</v>
      </c>
      <c r="D106" s="88">
        <v>0</v>
      </c>
      <c r="E106" s="88"/>
      <c r="F106" s="98">
        <v>0</v>
      </c>
      <c r="G106" s="98"/>
      <c r="H106" s="98"/>
      <c r="I106" s="47">
        <f t="shared" si="0"/>
        <v>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3" t="s">
        <v>728</v>
      </c>
      <c r="B107" s="14" t="s">
        <v>729</v>
      </c>
      <c r="C107" s="86">
        <v>5700000</v>
      </c>
      <c r="D107" s="86">
        <v>5752297.0800000001</v>
      </c>
      <c r="E107" s="86"/>
      <c r="F107" s="96">
        <v>5700000</v>
      </c>
      <c r="G107" s="96"/>
      <c r="H107" s="96"/>
      <c r="I107" s="15">
        <f t="shared" si="0"/>
        <v>-52297.080000000075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3" t="s">
        <v>730</v>
      </c>
      <c r="B108" s="14" t="s">
        <v>731</v>
      </c>
      <c r="C108" s="86">
        <v>12161500</v>
      </c>
      <c r="D108" s="86">
        <v>14824092.57</v>
      </c>
      <c r="E108" s="86">
        <v>0</v>
      </c>
      <c r="F108" s="96">
        <v>15821617.91</v>
      </c>
      <c r="G108" s="96">
        <f>+G109+G110+G111+G112+G113+G114+G115</f>
        <v>0</v>
      </c>
      <c r="H108" s="96">
        <f>ROUND(SUM(H109:H115),2)</f>
        <v>0</v>
      </c>
      <c r="I108" s="15">
        <f t="shared" si="0"/>
        <v>997525.33999999985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25" t="s">
        <v>732</v>
      </c>
      <c r="B109" s="26" t="s">
        <v>733</v>
      </c>
      <c r="C109" s="88">
        <v>2700000</v>
      </c>
      <c r="D109" s="88">
        <v>3298065.9</v>
      </c>
      <c r="E109" s="88"/>
      <c r="F109" s="98">
        <v>3250000</v>
      </c>
      <c r="G109" s="98"/>
      <c r="H109" s="98"/>
      <c r="I109" s="27">
        <f t="shared" si="0"/>
        <v>-48065.899999999907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25" t="s">
        <v>734</v>
      </c>
      <c r="B110" s="26" t="s">
        <v>735</v>
      </c>
      <c r="C110" s="88">
        <v>7800000</v>
      </c>
      <c r="D110" s="88">
        <v>9784470.4800000004</v>
      </c>
      <c r="E110" s="88"/>
      <c r="F110" s="98">
        <v>10700000</v>
      </c>
      <c r="G110" s="98"/>
      <c r="H110" s="98"/>
      <c r="I110" s="27">
        <f t="shared" si="0"/>
        <v>915529.51999999955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25" t="s">
        <v>736</v>
      </c>
      <c r="B111" s="26" t="s">
        <v>737</v>
      </c>
      <c r="C111" s="88">
        <v>0</v>
      </c>
      <c r="D111" s="88">
        <v>0</v>
      </c>
      <c r="E111" s="88"/>
      <c r="F111" s="98">
        <v>0</v>
      </c>
      <c r="G111" s="98"/>
      <c r="H111" s="98"/>
      <c r="I111" s="27">
        <f t="shared" si="0"/>
        <v>0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25" t="s">
        <v>738</v>
      </c>
      <c r="B112" s="26" t="s">
        <v>739</v>
      </c>
      <c r="C112" s="88">
        <v>1100000</v>
      </c>
      <c r="D112" s="88">
        <v>1273033.24</v>
      </c>
      <c r="E112" s="88"/>
      <c r="F112" s="98">
        <v>1100000</v>
      </c>
      <c r="G112" s="98"/>
      <c r="H112" s="98"/>
      <c r="I112" s="27">
        <f t="shared" si="0"/>
        <v>-173033.24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48" t="s">
        <v>740</v>
      </c>
      <c r="B113" s="49" t="s">
        <v>741</v>
      </c>
      <c r="C113" s="87">
        <v>561500</v>
      </c>
      <c r="D113" s="87">
        <v>468522.95</v>
      </c>
      <c r="E113" s="87"/>
      <c r="F113" s="97">
        <v>771617.91</v>
      </c>
      <c r="G113" s="97"/>
      <c r="H113" s="97"/>
      <c r="I113" s="36">
        <f t="shared" si="0"/>
        <v>303094.96000000002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25" t="s">
        <v>742</v>
      </c>
      <c r="B114" s="26" t="s">
        <v>743</v>
      </c>
      <c r="C114" s="88">
        <v>0</v>
      </c>
      <c r="D114" s="88">
        <v>0</v>
      </c>
      <c r="E114" s="88"/>
      <c r="F114" s="98">
        <v>0</v>
      </c>
      <c r="G114" s="98"/>
      <c r="H114" s="98"/>
      <c r="I114" s="27">
        <f t="shared" si="0"/>
        <v>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48" t="s">
        <v>744</v>
      </c>
      <c r="B115" s="49" t="s">
        <v>745</v>
      </c>
      <c r="C115" s="87">
        <v>0</v>
      </c>
      <c r="D115" s="87">
        <v>0</v>
      </c>
      <c r="E115" s="87"/>
      <c r="F115" s="97">
        <v>0</v>
      </c>
      <c r="G115" s="97"/>
      <c r="H115" s="97"/>
      <c r="I115" s="36">
        <f t="shared" si="0"/>
        <v>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0" t="s">
        <v>746</v>
      </c>
      <c r="B116" s="11" t="s">
        <v>747</v>
      </c>
      <c r="C116" s="85">
        <v>5186584</v>
      </c>
      <c r="D116" s="85">
        <v>5571310.9800000004</v>
      </c>
      <c r="E116" s="85">
        <v>0</v>
      </c>
      <c r="F116" s="95">
        <v>4864339.49</v>
      </c>
      <c r="G116" s="95">
        <f>+G117+G118+G121+G126+G132</f>
        <v>0</v>
      </c>
      <c r="H116" s="95">
        <f>ROUND(+H117+H118+H121+H126+H132,2)</f>
        <v>0</v>
      </c>
      <c r="I116" s="12">
        <f t="shared" si="0"/>
        <v>-706971.49000000022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28" t="s">
        <v>748</v>
      </c>
      <c r="B117" s="29" t="s">
        <v>749</v>
      </c>
      <c r="C117" s="86">
        <v>0</v>
      </c>
      <c r="D117" s="86">
        <v>0</v>
      </c>
      <c r="E117" s="86"/>
      <c r="F117" s="96">
        <v>0</v>
      </c>
      <c r="G117" s="96"/>
      <c r="H117" s="96"/>
      <c r="I117" s="30">
        <f t="shared" si="0"/>
        <v>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3" t="s">
        <v>750</v>
      </c>
      <c r="B118" s="14" t="s">
        <v>751</v>
      </c>
      <c r="C118" s="86">
        <v>154000</v>
      </c>
      <c r="D118" s="86">
        <v>150051.82</v>
      </c>
      <c r="E118" s="86">
        <v>0</v>
      </c>
      <c r="F118" s="96">
        <v>150000</v>
      </c>
      <c r="G118" s="96">
        <f>+G119+G120</f>
        <v>0</v>
      </c>
      <c r="H118" s="96">
        <f>H119+H120</f>
        <v>0</v>
      </c>
      <c r="I118" s="15">
        <f t="shared" si="0"/>
        <v>-51.820000000006985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25" t="s">
        <v>752</v>
      </c>
      <c r="B119" s="26" t="s">
        <v>753</v>
      </c>
      <c r="C119" s="88">
        <v>154000</v>
      </c>
      <c r="D119" s="88">
        <v>150051.82</v>
      </c>
      <c r="E119" s="88"/>
      <c r="F119" s="98">
        <v>150000</v>
      </c>
      <c r="G119" s="98"/>
      <c r="H119" s="98"/>
      <c r="I119" s="27">
        <f t="shared" si="0"/>
        <v>-51.820000000006985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25" t="s">
        <v>754</v>
      </c>
      <c r="B120" s="26" t="s">
        <v>755</v>
      </c>
      <c r="C120" s="88">
        <v>0</v>
      </c>
      <c r="D120" s="88">
        <v>0</v>
      </c>
      <c r="E120" s="88"/>
      <c r="F120" s="98">
        <v>0</v>
      </c>
      <c r="G120" s="98"/>
      <c r="H120" s="98"/>
      <c r="I120" s="27">
        <f t="shared" si="0"/>
        <v>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3" t="s">
        <v>756</v>
      </c>
      <c r="B121" s="14" t="s">
        <v>757</v>
      </c>
      <c r="C121" s="86">
        <v>1271100</v>
      </c>
      <c r="D121" s="86">
        <v>1406713.03</v>
      </c>
      <c r="E121" s="86">
        <v>0</v>
      </c>
      <c r="F121" s="96">
        <v>1074270.49</v>
      </c>
      <c r="G121" s="96">
        <f>+G122+G123+G124+G125</f>
        <v>0</v>
      </c>
      <c r="H121" s="96">
        <f>ROUND(+H122+H123+H124+H125,2)</f>
        <v>0</v>
      </c>
      <c r="I121" s="15">
        <f t="shared" si="0"/>
        <v>-332442.54000000004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48" t="s">
        <v>758</v>
      </c>
      <c r="B122" s="49" t="s">
        <v>759</v>
      </c>
      <c r="C122" s="87">
        <v>0</v>
      </c>
      <c r="D122" s="87">
        <v>18145.400000000001</v>
      </c>
      <c r="E122" s="87"/>
      <c r="F122" s="97">
        <v>0</v>
      </c>
      <c r="G122" s="97"/>
      <c r="H122" s="97"/>
      <c r="I122" s="36">
        <f t="shared" si="0"/>
        <v>-18145.400000000001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48" t="s">
        <v>760</v>
      </c>
      <c r="B123" s="49" t="s">
        <v>761</v>
      </c>
      <c r="C123" s="87">
        <v>761100</v>
      </c>
      <c r="D123" s="87">
        <v>846204.72</v>
      </c>
      <c r="E123" s="87"/>
      <c r="F123" s="97">
        <v>484190</v>
      </c>
      <c r="G123" s="97"/>
      <c r="H123" s="97"/>
      <c r="I123" s="36">
        <f t="shared" si="0"/>
        <v>-362014.71999999997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48" t="s">
        <v>762</v>
      </c>
      <c r="B124" s="49" t="s">
        <v>763</v>
      </c>
      <c r="C124" s="87">
        <v>510000</v>
      </c>
      <c r="D124" s="87">
        <v>542362.91</v>
      </c>
      <c r="E124" s="87"/>
      <c r="F124" s="97">
        <v>590080.49</v>
      </c>
      <c r="G124" s="97"/>
      <c r="H124" s="97"/>
      <c r="I124" s="36">
        <f t="shared" si="0"/>
        <v>47717.579999999958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48" t="s">
        <v>764</v>
      </c>
      <c r="B125" s="49" t="s">
        <v>765</v>
      </c>
      <c r="C125" s="87">
        <v>0</v>
      </c>
      <c r="D125" s="87">
        <v>0</v>
      </c>
      <c r="E125" s="87"/>
      <c r="F125" s="97">
        <v>0</v>
      </c>
      <c r="G125" s="97"/>
      <c r="H125" s="97"/>
      <c r="I125" s="36">
        <f t="shared" si="0"/>
        <v>0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3" t="s">
        <v>766</v>
      </c>
      <c r="B126" s="14" t="s">
        <v>767</v>
      </c>
      <c r="C126" s="86">
        <v>1261484</v>
      </c>
      <c r="D126" s="86">
        <v>1889941.52</v>
      </c>
      <c r="E126" s="86">
        <v>0</v>
      </c>
      <c r="F126" s="96">
        <v>1140069</v>
      </c>
      <c r="G126" s="96">
        <f>+G127+G128+G131</f>
        <v>0</v>
      </c>
      <c r="H126" s="96">
        <f>ROUND(+H127+H128+H131,2)</f>
        <v>0</v>
      </c>
      <c r="I126" s="15">
        <f t="shared" si="0"/>
        <v>-749872.52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25" t="s">
        <v>768</v>
      </c>
      <c r="B127" s="26" t="s">
        <v>769</v>
      </c>
      <c r="C127" s="88">
        <v>97000</v>
      </c>
      <c r="D127" s="88">
        <v>112512.61</v>
      </c>
      <c r="E127" s="88"/>
      <c r="F127" s="98">
        <v>110000</v>
      </c>
      <c r="G127" s="98"/>
      <c r="H127" s="98"/>
      <c r="I127" s="27">
        <f t="shared" si="0"/>
        <v>-2512.6100000000006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28" t="s">
        <v>770</v>
      </c>
      <c r="B128" s="29" t="s">
        <v>771</v>
      </c>
      <c r="C128" s="86">
        <v>1134484</v>
      </c>
      <c r="D128" s="86">
        <v>1759971.62</v>
      </c>
      <c r="E128" s="86">
        <v>0</v>
      </c>
      <c r="F128" s="96">
        <v>1012569</v>
      </c>
      <c r="G128" s="96">
        <f>G129+G130</f>
        <v>0</v>
      </c>
      <c r="H128" s="96">
        <f>ROUND(H129+H130,2)</f>
        <v>0</v>
      </c>
      <c r="I128" s="30">
        <f t="shared" si="0"/>
        <v>-747402.62000000011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25" t="s">
        <v>772</v>
      </c>
      <c r="B129" s="26" t="s">
        <v>773</v>
      </c>
      <c r="C129" s="88">
        <v>134484</v>
      </c>
      <c r="D129" s="88">
        <v>112569</v>
      </c>
      <c r="E129" s="88"/>
      <c r="F129" s="98">
        <v>112569</v>
      </c>
      <c r="G129" s="98"/>
      <c r="H129" s="98"/>
      <c r="I129" s="27">
        <f t="shared" si="0"/>
        <v>0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25" t="s">
        <v>774</v>
      </c>
      <c r="B130" s="26" t="s">
        <v>775</v>
      </c>
      <c r="C130" s="88">
        <v>1000000</v>
      </c>
      <c r="D130" s="88">
        <v>1647402.62</v>
      </c>
      <c r="E130" s="88"/>
      <c r="F130" s="98">
        <v>900000</v>
      </c>
      <c r="G130" s="98"/>
      <c r="H130" s="98"/>
      <c r="I130" s="27">
        <f t="shared" si="0"/>
        <v>-747402.62000000011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25" t="s">
        <v>776</v>
      </c>
      <c r="B131" s="26" t="s">
        <v>777</v>
      </c>
      <c r="C131" s="88">
        <v>30000</v>
      </c>
      <c r="D131" s="88">
        <v>17457.29</v>
      </c>
      <c r="E131" s="88"/>
      <c r="F131" s="98">
        <v>17500</v>
      </c>
      <c r="G131" s="98"/>
      <c r="H131" s="98"/>
      <c r="I131" s="27">
        <f t="shared" si="0"/>
        <v>42.709999999999127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3" t="s">
        <v>778</v>
      </c>
      <c r="B132" s="14" t="s">
        <v>779</v>
      </c>
      <c r="C132" s="86">
        <v>2500000</v>
      </c>
      <c r="D132" s="86">
        <v>2124604.61</v>
      </c>
      <c r="E132" s="86">
        <v>0</v>
      </c>
      <c r="F132" s="96">
        <v>2500000</v>
      </c>
      <c r="G132" s="96">
        <f>+G133+G137+G138</f>
        <v>0</v>
      </c>
      <c r="H132" s="96">
        <f>ROUND(+H133+H137+H138,2)</f>
        <v>0</v>
      </c>
      <c r="I132" s="15">
        <f t="shared" si="0"/>
        <v>375395.39000000013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28" t="s">
        <v>780</v>
      </c>
      <c r="B133" s="29" t="s">
        <v>781</v>
      </c>
      <c r="C133" s="86">
        <v>0</v>
      </c>
      <c r="D133" s="86">
        <v>0</v>
      </c>
      <c r="E133" s="86">
        <v>0</v>
      </c>
      <c r="F133" s="96">
        <v>0</v>
      </c>
      <c r="G133" s="96">
        <f>G134+G135+G136</f>
        <v>0</v>
      </c>
      <c r="H133" s="96">
        <f>ROUND(+H134+H135+H136,2)</f>
        <v>0</v>
      </c>
      <c r="I133" s="30">
        <f t="shared" si="0"/>
        <v>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37" t="s">
        <v>782</v>
      </c>
      <c r="B134" s="38" t="s">
        <v>783</v>
      </c>
      <c r="C134" s="87">
        <v>0</v>
      </c>
      <c r="D134" s="87">
        <v>0</v>
      </c>
      <c r="E134" s="87"/>
      <c r="F134" s="97">
        <v>0</v>
      </c>
      <c r="G134" s="97"/>
      <c r="H134" s="97"/>
      <c r="I134" s="39">
        <f t="shared" si="0"/>
        <v>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37" t="s">
        <v>784</v>
      </c>
      <c r="B135" s="38" t="s">
        <v>785</v>
      </c>
      <c r="C135" s="87">
        <v>0</v>
      </c>
      <c r="D135" s="87">
        <v>0</v>
      </c>
      <c r="E135" s="87"/>
      <c r="F135" s="97">
        <v>0</v>
      </c>
      <c r="G135" s="97"/>
      <c r="H135" s="97"/>
      <c r="I135" s="39">
        <f t="shared" si="0"/>
        <v>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37" t="s">
        <v>786</v>
      </c>
      <c r="B136" s="38" t="s">
        <v>787</v>
      </c>
      <c r="C136" s="87">
        <v>0</v>
      </c>
      <c r="D136" s="87">
        <v>0</v>
      </c>
      <c r="E136" s="87"/>
      <c r="F136" s="97">
        <v>0</v>
      </c>
      <c r="G136" s="97"/>
      <c r="H136" s="97"/>
      <c r="I136" s="39">
        <f t="shared" si="0"/>
        <v>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25" t="s">
        <v>788</v>
      </c>
      <c r="B137" s="26" t="s">
        <v>789</v>
      </c>
      <c r="C137" s="88">
        <v>0</v>
      </c>
      <c r="D137" s="88">
        <v>0</v>
      </c>
      <c r="E137" s="88"/>
      <c r="F137" s="98">
        <v>0</v>
      </c>
      <c r="G137" s="98"/>
      <c r="H137" s="98"/>
      <c r="I137" s="27">
        <f t="shared" si="0"/>
        <v>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25" t="s">
        <v>790</v>
      </c>
      <c r="B138" s="26" t="s">
        <v>791</v>
      </c>
      <c r="C138" s="88">
        <v>2500000</v>
      </c>
      <c r="D138" s="88">
        <v>2124604.61</v>
      </c>
      <c r="E138" s="88"/>
      <c r="F138" s="98">
        <v>2500000</v>
      </c>
      <c r="G138" s="98"/>
      <c r="H138" s="98"/>
      <c r="I138" s="27">
        <f t="shared" si="0"/>
        <v>375395.39000000013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0" t="s">
        <v>792</v>
      </c>
      <c r="B139" s="11" t="s">
        <v>793</v>
      </c>
      <c r="C139" s="85">
        <v>7400000</v>
      </c>
      <c r="D139" s="85">
        <v>7783096.0300000003</v>
      </c>
      <c r="E139" s="85">
        <v>0</v>
      </c>
      <c r="F139" s="95">
        <v>8160000</v>
      </c>
      <c r="G139" s="95">
        <f>+G140+G141+G142</f>
        <v>0</v>
      </c>
      <c r="H139" s="95">
        <f>ROUND(+H140+H141+H142,2)</f>
        <v>0</v>
      </c>
      <c r="I139" s="12">
        <f t="shared" si="0"/>
        <v>376903.96999999974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37" t="s">
        <v>794</v>
      </c>
      <c r="B140" s="38" t="s">
        <v>795</v>
      </c>
      <c r="C140" s="87">
        <v>6600000</v>
      </c>
      <c r="D140" s="87">
        <v>6819397.7300000004</v>
      </c>
      <c r="E140" s="87"/>
      <c r="F140" s="97">
        <v>7050000</v>
      </c>
      <c r="G140" s="97"/>
      <c r="H140" s="97"/>
      <c r="I140" s="39">
        <f t="shared" si="0"/>
        <v>230602.26999999955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37" t="s">
        <v>796</v>
      </c>
      <c r="B141" s="38" t="s">
        <v>797</v>
      </c>
      <c r="C141" s="87">
        <v>800000</v>
      </c>
      <c r="D141" s="87">
        <v>963698.3</v>
      </c>
      <c r="E141" s="87"/>
      <c r="F141" s="97">
        <v>1110000</v>
      </c>
      <c r="G141" s="97"/>
      <c r="H141" s="97"/>
      <c r="I141" s="39">
        <f t="shared" si="0"/>
        <v>146301.69999999995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37" t="s">
        <v>798</v>
      </c>
      <c r="B142" s="38" t="s">
        <v>799</v>
      </c>
      <c r="C142" s="87">
        <v>0</v>
      </c>
      <c r="D142" s="87">
        <v>0</v>
      </c>
      <c r="E142" s="87"/>
      <c r="F142" s="97">
        <v>0</v>
      </c>
      <c r="G142" s="97"/>
      <c r="H142" s="97"/>
      <c r="I142" s="39">
        <f t="shared" si="0"/>
        <v>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0" t="s">
        <v>800</v>
      </c>
      <c r="B143" s="11" t="s">
        <v>801</v>
      </c>
      <c r="C143" s="85">
        <v>35399471.159999996</v>
      </c>
      <c r="D143" s="85">
        <v>27834534.210000001</v>
      </c>
      <c r="E143" s="85">
        <v>8406.8700000000008</v>
      </c>
      <c r="F143" s="95">
        <v>31198034.210000001</v>
      </c>
      <c r="G143" s="95">
        <f>+G144+G145+G146+G147+G148+G149</f>
        <v>0</v>
      </c>
      <c r="H143" s="95">
        <f>ROUND(SUM(H144:H149),2)</f>
        <v>0</v>
      </c>
      <c r="I143" s="12">
        <f t="shared" si="0"/>
        <v>3363500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37" t="s">
        <v>802</v>
      </c>
      <c r="B144" s="38" t="s">
        <v>803</v>
      </c>
      <c r="C144" s="87">
        <v>3168481.99</v>
      </c>
      <c r="D144" s="87">
        <v>2682933.84</v>
      </c>
      <c r="E144" s="87"/>
      <c r="F144" s="97">
        <v>2840933.84</v>
      </c>
      <c r="G144" s="97"/>
      <c r="H144" s="97"/>
      <c r="I144" s="39">
        <f t="shared" si="0"/>
        <v>158000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37" t="s">
        <v>804</v>
      </c>
      <c r="B145" s="38" t="s">
        <v>805</v>
      </c>
      <c r="C145" s="87">
        <v>546889.69999999995</v>
      </c>
      <c r="D145" s="87">
        <v>773518.67</v>
      </c>
      <c r="E145" s="87"/>
      <c r="F145" s="97">
        <v>1037418.67</v>
      </c>
      <c r="G145" s="97"/>
      <c r="H145" s="97"/>
      <c r="I145" s="39">
        <f t="shared" si="0"/>
        <v>263900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37" t="s">
        <v>806</v>
      </c>
      <c r="B146" s="38" t="s">
        <v>807</v>
      </c>
      <c r="C146" s="87">
        <v>11162402.42</v>
      </c>
      <c r="D146" s="87">
        <v>11144673.890000001</v>
      </c>
      <c r="E146" s="87"/>
      <c r="F146" s="97">
        <v>11144673.890000001</v>
      </c>
      <c r="G146" s="97"/>
      <c r="H146" s="97"/>
      <c r="I146" s="39">
        <f t="shared" si="0"/>
        <v>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37" t="s">
        <v>808</v>
      </c>
      <c r="B147" s="38" t="s">
        <v>809</v>
      </c>
      <c r="C147" s="87">
        <v>18779969.960000001</v>
      </c>
      <c r="D147" s="87">
        <v>11412050.91</v>
      </c>
      <c r="E147" s="87"/>
      <c r="F147" s="97">
        <v>14353650.91</v>
      </c>
      <c r="G147" s="97"/>
      <c r="H147" s="97"/>
      <c r="I147" s="39">
        <f t="shared" si="0"/>
        <v>2941600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37" t="s">
        <v>810</v>
      </c>
      <c r="B148" s="38" t="s">
        <v>811</v>
      </c>
      <c r="C148" s="87">
        <v>357071.31</v>
      </c>
      <c r="D148" s="87">
        <v>353092.64</v>
      </c>
      <c r="E148" s="87"/>
      <c r="F148" s="97">
        <v>353092.64</v>
      </c>
      <c r="G148" s="97"/>
      <c r="H148" s="97"/>
      <c r="I148" s="39">
        <f t="shared" si="0"/>
        <v>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37" t="s">
        <v>812</v>
      </c>
      <c r="B149" s="38" t="s">
        <v>813</v>
      </c>
      <c r="C149" s="87">
        <v>1384655.78</v>
      </c>
      <c r="D149" s="87">
        <v>1468264.26</v>
      </c>
      <c r="E149" s="87">
        <v>8406.8700000000008</v>
      </c>
      <c r="F149" s="97">
        <v>1468264.26</v>
      </c>
      <c r="G149" s="97"/>
      <c r="H149" s="97"/>
      <c r="I149" s="39">
        <f t="shared" si="0"/>
        <v>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0" t="s">
        <v>814</v>
      </c>
      <c r="B150" s="11" t="s">
        <v>815</v>
      </c>
      <c r="C150" s="85">
        <v>0</v>
      </c>
      <c r="D150" s="85">
        <v>0</v>
      </c>
      <c r="E150" s="85"/>
      <c r="F150" s="95">
        <v>0</v>
      </c>
      <c r="G150" s="95"/>
      <c r="H150" s="95"/>
      <c r="I150" s="12">
        <f t="shared" si="0"/>
        <v>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0" t="s">
        <v>816</v>
      </c>
      <c r="B151" s="11" t="s">
        <v>817</v>
      </c>
      <c r="C151" s="85">
        <v>5790000</v>
      </c>
      <c r="D151" s="85">
        <v>26519255.489999998</v>
      </c>
      <c r="E151" s="85">
        <v>0</v>
      </c>
      <c r="F151" s="95">
        <v>5766000</v>
      </c>
      <c r="G151" s="95">
        <f>+G152+G153+G154</f>
        <v>0</v>
      </c>
      <c r="H151" s="95">
        <f>ROUND(+H152+H153+H154,2)</f>
        <v>0</v>
      </c>
      <c r="I151" s="12">
        <f t="shared" si="0"/>
        <v>-20753255.489999998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37" t="s">
        <v>818</v>
      </c>
      <c r="B152" s="38" t="s">
        <v>819</v>
      </c>
      <c r="C152" s="87">
        <v>40000</v>
      </c>
      <c r="D152" s="87">
        <v>31041.65</v>
      </c>
      <c r="E152" s="87"/>
      <c r="F152" s="97">
        <v>31000</v>
      </c>
      <c r="G152" s="97"/>
      <c r="H152" s="97"/>
      <c r="I152" s="39">
        <f t="shared" si="0"/>
        <v>-41.650000000001455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37" t="s">
        <v>820</v>
      </c>
      <c r="B153" s="38" t="s">
        <v>821</v>
      </c>
      <c r="C153" s="87">
        <v>750000</v>
      </c>
      <c r="D153" s="87">
        <v>734052.14</v>
      </c>
      <c r="E153" s="87"/>
      <c r="F153" s="97">
        <v>735000</v>
      </c>
      <c r="G153" s="97"/>
      <c r="H153" s="97"/>
      <c r="I153" s="39">
        <f t="shared" si="0"/>
        <v>947.85999999998603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37" t="s">
        <v>822</v>
      </c>
      <c r="B154" s="38" t="s">
        <v>823</v>
      </c>
      <c r="C154" s="87">
        <v>5000000</v>
      </c>
      <c r="D154" s="87">
        <v>25754161.699999999</v>
      </c>
      <c r="E154" s="87"/>
      <c r="F154" s="97">
        <v>5000000</v>
      </c>
      <c r="G154" s="97"/>
      <c r="H154" s="97"/>
      <c r="I154" s="39">
        <f t="shared" si="0"/>
        <v>-20754161.699999999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0" t="s">
        <v>824</v>
      </c>
      <c r="B155" s="50" t="s">
        <v>825</v>
      </c>
      <c r="C155" s="89">
        <v>693806150.94000006</v>
      </c>
      <c r="D155" s="89">
        <v>681399767.12</v>
      </c>
      <c r="E155" s="89">
        <v>27266406.66</v>
      </c>
      <c r="F155" s="99">
        <v>695892501.21000004</v>
      </c>
      <c r="G155" s="99">
        <f>+G156+G197+G384+G392+G402+G444+G452+G478+G483+G500</f>
        <v>26542482.519685708</v>
      </c>
      <c r="H155" s="99">
        <f>ROUND(H156+H197+H384+H392+H402+H444+H452+H478+H483+H500,2)</f>
        <v>6132713.8099999996</v>
      </c>
      <c r="I155" s="51">
        <f t="shared" si="0"/>
        <v>14492734.090000033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0" t="s">
        <v>826</v>
      </c>
      <c r="B156" s="11" t="s">
        <v>827</v>
      </c>
      <c r="C156" s="85">
        <v>224447355.08000001</v>
      </c>
      <c r="D156" s="85">
        <v>218773912.16</v>
      </c>
      <c r="E156" s="85">
        <v>4671512.43</v>
      </c>
      <c r="F156" s="95">
        <v>234886069</v>
      </c>
      <c r="G156" s="95">
        <f>+G157+G189</f>
        <v>1862831.8654</v>
      </c>
      <c r="H156" s="95">
        <f>ROUND(+H157+H189,2)</f>
        <v>769975.42</v>
      </c>
      <c r="I156" s="12">
        <f t="shared" si="0"/>
        <v>16112156.840000004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3" t="s">
        <v>828</v>
      </c>
      <c r="B157" s="14" t="s">
        <v>829</v>
      </c>
      <c r="C157" s="86">
        <v>220818345.08000001</v>
      </c>
      <c r="D157" s="86">
        <v>215761250.91</v>
      </c>
      <c r="E157" s="86">
        <v>4585123.0999999996</v>
      </c>
      <c r="F157" s="96">
        <v>231350069</v>
      </c>
      <c r="G157" s="96">
        <f>+G158+G166+G170+G176+G177+G178+G179+G180+G181</f>
        <v>1838742.9604</v>
      </c>
      <c r="H157" s="96">
        <f>ROUND(+H158+H166+H170+H176+H177+H178+H179+H180+H181,2)</f>
        <v>750612.22</v>
      </c>
      <c r="I157" s="15">
        <f t="shared" si="0"/>
        <v>15588818.090000004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3" t="s">
        <v>830</v>
      </c>
      <c r="B158" s="14" t="s">
        <v>831</v>
      </c>
      <c r="C158" s="86">
        <v>137943256</v>
      </c>
      <c r="D158" s="86">
        <v>127207241.28</v>
      </c>
      <c r="E158" s="86">
        <v>1909316.39</v>
      </c>
      <c r="F158" s="96">
        <v>140063819</v>
      </c>
      <c r="G158" s="96">
        <f>+G159+G160+G161+G162</f>
        <v>664830.97499999986</v>
      </c>
      <c r="H158" s="96">
        <f>ROUND(SUM(H159:H162),2)</f>
        <v>324692.71999999997</v>
      </c>
      <c r="I158" s="15">
        <f t="shared" si="0"/>
        <v>12856577.719999999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37" t="s">
        <v>832</v>
      </c>
      <c r="B159" s="38" t="s">
        <v>833</v>
      </c>
      <c r="C159" s="87">
        <v>130881793</v>
      </c>
      <c r="D159" s="87">
        <v>121274581.06</v>
      </c>
      <c r="E159" s="87">
        <v>1806395.7</v>
      </c>
      <c r="F159" s="97">
        <v>134132876</v>
      </c>
      <c r="G159" s="97">
        <v>582277.31999999995</v>
      </c>
      <c r="H159" s="97">
        <v>311358.93450585578</v>
      </c>
      <c r="I159" s="39">
        <f t="shared" si="0"/>
        <v>12858294.939999998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37" t="s">
        <v>834</v>
      </c>
      <c r="B160" s="38" t="s">
        <v>835</v>
      </c>
      <c r="C160" s="87">
        <v>4060000</v>
      </c>
      <c r="D160" s="87">
        <v>3176806.25</v>
      </c>
      <c r="E160" s="87">
        <v>18378.349999999999</v>
      </c>
      <c r="F160" s="97">
        <v>3175000</v>
      </c>
      <c r="G160" s="97">
        <v>61775.504999999997</v>
      </c>
      <c r="H160" s="97">
        <v>1699.1866075225985</v>
      </c>
      <c r="I160" s="39">
        <f t="shared" si="0"/>
        <v>-1806.25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37" t="s">
        <v>836</v>
      </c>
      <c r="B161" s="38" t="s">
        <v>837</v>
      </c>
      <c r="C161" s="87">
        <v>459000</v>
      </c>
      <c r="D161" s="87">
        <v>530910.97</v>
      </c>
      <c r="E161" s="87">
        <v>2729.49</v>
      </c>
      <c r="F161" s="97">
        <v>531000</v>
      </c>
      <c r="G161" s="97">
        <v>797.94</v>
      </c>
      <c r="H161" s="97">
        <v>626.78710394185737</v>
      </c>
      <c r="I161" s="39">
        <f t="shared" si="0"/>
        <v>89.03000000002794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40" t="s">
        <v>838</v>
      </c>
      <c r="B162" s="29" t="s">
        <v>839</v>
      </c>
      <c r="C162" s="85">
        <v>2542463</v>
      </c>
      <c r="D162" s="85">
        <v>2224943</v>
      </c>
      <c r="E162" s="85">
        <v>81812.850000000006</v>
      </c>
      <c r="F162" s="95">
        <v>2224943</v>
      </c>
      <c r="G162" s="95">
        <v>19980.21</v>
      </c>
      <c r="H162" s="95">
        <f>ROUND(SUM(H163:H165),2)</f>
        <v>11007.81</v>
      </c>
      <c r="I162" s="41">
        <f t="shared" si="0"/>
        <v>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22" t="s">
        <v>840</v>
      </c>
      <c r="B163" s="23" t="s">
        <v>841</v>
      </c>
      <c r="C163" s="87">
        <v>0</v>
      </c>
      <c r="D163" s="87">
        <v>0</v>
      </c>
      <c r="E163" s="87"/>
      <c r="F163" s="97">
        <v>0</v>
      </c>
      <c r="G163" s="97"/>
      <c r="H163" s="97"/>
      <c r="I163" s="24">
        <f t="shared" si="0"/>
        <v>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22" t="s">
        <v>842</v>
      </c>
      <c r="B164" s="23" t="s">
        <v>843</v>
      </c>
      <c r="C164" s="87">
        <v>0</v>
      </c>
      <c r="D164" s="87">
        <v>0</v>
      </c>
      <c r="E164" s="87"/>
      <c r="F164" s="97">
        <v>0</v>
      </c>
      <c r="G164" s="97"/>
      <c r="H164" s="97"/>
      <c r="I164" s="24">
        <f t="shared" si="0"/>
        <v>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22" t="s">
        <v>844</v>
      </c>
      <c r="B165" s="23" t="s">
        <v>845</v>
      </c>
      <c r="C165" s="87">
        <v>2542463</v>
      </c>
      <c r="D165" s="87">
        <v>2224943</v>
      </c>
      <c r="E165" s="87">
        <v>81812.850000000006</v>
      </c>
      <c r="F165" s="97">
        <v>2224943</v>
      </c>
      <c r="G165" s="97"/>
      <c r="H165" s="97">
        <v>11007.807064584747</v>
      </c>
      <c r="I165" s="24">
        <f t="shared" si="0"/>
        <v>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3" t="s">
        <v>846</v>
      </c>
      <c r="B166" s="14" t="s">
        <v>847</v>
      </c>
      <c r="C166" s="86">
        <v>0</v>
      </c>
      <c r="D166" s="86">
        <v>0</v>
      </c>
      <c r="E166" s="86">
        <v>0</v>
      </c>
      <c r="F166" s="96">
        <v>0</v>
      </c>
      <c r="G166" s="96">
        <f>+G167+G168+G169</f>
        <v>0</v>
      </c>
      <c r="H166" s="96">
        <f>ROUND(SUM(H167:H169),2)</f>
        <v>0</v>
      </c>
      <c r="I166" s="15">
        <f t="shared" si="0"/>
        <v>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34" t="s">
        <v>848</v>
      </c>
      <c r="B167" s="35" t="s">
        <v>849</v>
      </c>
      <c r="C167" s="87">
        <v>0</v>
      </c>
      <c r="D167" s="87">
        <v>0</v>
      </c>
      <c r="E167" s="87"/>
      <c r="F167" s="97">
        <v>0</v>
      </c>
      <c r="G167" s="97"/>
      <c r="H167" s="97"/>
      <c r="I167" s="36">
        <f t="shared" si="0"/>
        <v>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37" t="s">
        <v>850</v>
      </c>
      <c r="B168" s="38" t="s">
        <v>851</v>
      </c>
      <c r="C168" s="87">
        <v>0</v>
      </c>
      <c r="D168" s="87">
        <v>0</v>
      </c>
      <c r="E168" s="87"/>
      <c r="F168" s="97">
        <v>0</v>
      </c>
      <c r="G168" s="97"/>
      <c r="H168" s="97"/>
      <c r="I168" s="39">
        <f t="shared" si="0"/>
        <v>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37" t="s">
        <v>852</v>
      </c>
      <c r="B169" s="38" t="s">
        <v>853</v>
      </c>
      <c r="C169" s="87">
        <v>0</v>
      </c>
      <c r="D169" s="87">
        <v>0</v>
      </c>
      <c r="E169" s="87"/>
      <c r="F169" s="97">
        <v>0</v>
      </c>
      <c r="G169" s="97"/>
      <c r="H169" s="97"/>
      <c r="I169" s="39">
        <f t="shared" si="0"/>
        <v>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3" t="s">
        <v>854</v>
      </c>
      <c r="B170" s="14" t="s">
        <v>855</v>
      </c>
      <c r="C170" s="86">
        <v>79094465</v>
      </c>
      <c r="D170" s="86">
        <v>84914969.640000001</v>
      </c>
      <c r="E170" s="86">
        <v>2557089.5</v>
      </c>
      <c r="F170" s="96">
        <v>83395904</v>
      </c>
      <c r="G170" s="96">
        <f>+G171+G174+G175</f>
        <v>1125050</v>
      </c>
      <c r="H170" s="96">
        <f>ROUND(H171+H174+H175,2)</f>
        <v>411116.54</v>
      </c>
      <c r="I170" s="15">
        <f t="shared" si="0"/>
        <v>-1519065.6400000006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40" t="s">
        <v>856</v>
      </c>
      <c r="B171" s="29" t="s">
        <v>857</v>
      </c>
      <c r="C171" s="85">
        <v>58144279</v>
      </c>
      <c r="D171" s="85">
        <v>61235619.270000003</v>
      </c>
      <c r="E171" s="85">
        <v>1793831.42</v>
      </c>
      <c r="F171" s="95">
        <v>60843067</v>
      </c>
      <c r="G171" s="95">
        <f>+G172+G173</f>
        <v>674742</v>
      </c>
      <c r="H171" s="95">
        <f>ROUND(H172+H173,2)</f>
        <v>284329.62</v>
      </c>
      <c r="I171" s="41">
        <f t="shared" si="0"/>
        <v>-392552.27000000328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37" t="s">
        <v>858</v>
      </c>
      <c r="B172" s="38" t="s">
        <v>859</v>
      </c>
      <c r="C172" s="87">
        <v>15518243</v>
      </c>
      <c r="D172" s="87">
        <v>18396952.010000002</v>
      </c>
      <c r="E172" s="87"/>
      <c r="F172" s="97">
        <v>17318243</v>
      </c>
      <c r="G172" s="97"/>
      <c r="H172" s="97"/>
      <c r="I172" s="39">
        <f t="shared" si="0"/>
        <v>-1078709.0100000016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37" t="s">
        <v>860</v>
      </c>
      <c r="B173" s="38" t="s">
        <v>861</v>
      </c>
      <c r="C173" s="87">
        <v>42626036</v>
      </c>
      <c r="D173" s="87">
        <v>42838667.259999998</v>
      </c>
      <c r="E173" s="87">
        <v>1793831.42</v>
      </c>
      <c r="F173" s="97">
        <v>43524824</v>
      </c>
      <c r="G173" s="97">
        <v>674742</v>
      </c>
      <c r="H173" s="97">
        <v>284329.6186735956</v>
      </c>
      <c r="I173" s="39">
        <f t="shared" si="0"/>
        <v>686156.74000000209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37" t="s">
        <v>862</v>
      </c>
      <c r="B174" s="38" t="s">
        <v>863</v>
      </c>
      <c r="C174" s="87">
        <v>5368836</v>
      </c>
      <c r="D174" s="87">
        <v>5932091.3600000003</v>
      </c>
      <c r="E174" s="87"/>
      <c r="F174" s="97">
        <v>5368836</v>
      </c>
      <c r="G174" s="97"/>
      <c r="H174" s="97"/>
      <c r="I174" s="39">
        <f t="shared" si="0"/>
        <v>-563255.36000000034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37" t="s">
        <v>864</v>
      </c>
      <c r="B175" s="38" t="s">
        <v>865</v>
      </c>
      <c r="C175" s="87">
        <v>15581350</v>
      </c>
      <c r="D175" s="87">
        <v>17747259.010000002</v>
      </c>
      <c r="E175" s="87">
        <v>763258.08</v>
      </c>
      <c r="F175" s="97">
        <v>17184001</v>
      </c>
      <c r="G175" s="97">
        <v>450308</v>
      </c>
      <c r="H175" s="97">
        <v>126786.92</v>
      </c>
      <c r="I175" s="39">
        <f t="shared" si="0"/>
        <v>-563258.01000000164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25" t="s">
        <v>866</v>
      </c>
      <c r="B176" s="26" t="s">
        <v>867</v>
      </c>
      <c r="C176" s="88">
        <v>368000</v>
      </c>
      <c r="D176" s="88">
        <v>332947.63</v>
      </c>
      <c r="E176" s="88">
        <v>51588.54</v>
      </c>
      <c r="F176" s="97">
        <v>368000</v>
      </c>
      <c r="G176" s="97">
        <v>15675.975000000002</v>
      </c>
      <c r="H176" s="97">
        <v>4463.1957162444169</v>
      </c>
      <c r="I176" s="27">
        <f t="shared" si="0"/>
        <v>35052.369999999995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25" t="s">
        <v>868</v>
      </c>
      <c r="B177" s="26" t="s">
        <v>869</v>
      </c>
      <c r="C177" s="88">
        <v>274000</v>
      </c>
      <c r="D177" s="88">
        <v>312529.39</v>
      </c>
      <c r="E177" s="88"/>
      <c r="F177" s="97">
        <v>274000</v>
      </c>
      <c r="G177" s="97"/>
      <c r="H177" s="97"/>
      <c r="I177" s="27">
        <f t="shared" si="0"/>
        <v>-38529.390000000014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25" t="s">
        <v>870</v>
      </c>
      <c r="B178" s="26" t="s">
        <v>871</v>
      </c>
      <c r="C178" s="88">
        <v>314000</v>
      </c>
      <c r="D178" s="88">
        <v>284226.71999999997</v>
      </c>
      <c r="E178" s="88">
        <v>2160</v>
      </c>
      <c r="F178" s="98">
        <v>314000</v>
      </c>
      <c r="G178" s="98">
        <v>49.31</v>
      </c>
      <c r="H178" s="98">
        <v>49.31</v>
      </c>
      <c r="I178" s="27">
        <f t="shared" si="0"/>
        <v>29773.280000000028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25" t="s">
        <v>872</v>
      </c>
      <c r="B179" s="26" t="s">
        <v>873</v>
      </c>
      <c r="C179" s="88">
        <v>0</v>
      </c>
      <c r="D179" s="88">
        <v>0</v>
      </c>
      <c r="E179" s="88"/>
      <c r="F179" s="98">
        <v>0</v>
      </c>
      <c r="G179" s="98"/>
      <c r="H179" s="98"/>
      <c r="I179" s="27">
        <f t="shared" si="0"/>
        <v>0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25" t="s">
        <v>874</v>
      </c>
      <c r="B180" s="26" t="s">
        <v>875</v>
      </c>
      <c r="C180" s="88">
        <v>2762230</v>
      </c>
      <c r="D180" s="88">
        <v>2594989.58</v>
      </c>
      <c r="E180" s="88">
        <v>64968.67</v>
      </c>
      <c r="F180" s="97">
        <v>2562230</v>
      </c>
      <c r="G180" s="97">
        <v>33136.700400000009</v>
      </c>
      <c r="H180" s="97">
        <v>10290.451860447796</v>
      </c>
      <c r="I180" s="27">
        <f t="shared" si="0"/>
        <v>-32759.580000000075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3" t="s">
        <v>876</v>
      </c>
      <c r="B181" s="14" t="s">
        <v>877</v>
      </c>
      <c r="C181" s="86">
        <v>62394.080000000002</v>
      </c>
      <c r="D181" s="86">
        <v>114346.67</v>
      </c>
      <c r="E181" s="86">
        <v>0</v>
      </c>
      <c r="F181" s="96">
        <v>4372116</v>
      </c>
      <c r="G181" s="96">
        <f>+G182+G183+G185+G184+G186+G187+G188</f>
        <v>0</v>
      </c>
      <c r="H181" s="96">
        <f>ROUND(SUM(H182:H188),2)</f>
        <v>0</v>
      </c>
      <c r="I181" s="15">
        <f t="shared" si="0"/>
        <v>4257769.33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48" t="s">
        <v>878</v>
      </c>
      <c r="B182" s="49" t="s">
        <v>879</v>
      </c>
      <c r="C182" s="87">
        <v>49348.56</v>
      </c>
      <c r="D182" s="87">
        <v>114346.67</v>
      </c>
      <c r="E182" s="87"/>
      <c r="F182" s="97">
        <v>54145.05</v>
      </c>
      <c r="G182" s="97"/>
      <c r="H182" s="97"/>
      <c r="I182" s="36">
        <f t="shared" si="0"/>
        <v>-60201.619999999995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48" t="s">
        <v>880</v>
      </c>
      <c r="B183" s="49" t="s">
        <v>881</v>
      </c>
      <c r="C183" s="87">
        <v>0</v>
      </c>
      <c r="D183" s="87">
        <v>0</v>
      </c>
      <c r="E183" s="87"/>
      <c r="F183" s="97">
        <v>3492380.15</v>
      </c>
      <c r="G183" s="97"/>
      <c r="H183" s="97"/>
      <c r="I183" s="36">
        <f t="shared" si="0"/>
        <v>3492380.15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48" t="s">
        <v>882</v>
      </c>
      <c r="B184" s="49" t="s">
        <v>883</v>
      </c>
      <c r="C184" s="87">
        <v>0</v>
      </c>
      <c r="D184" s="87">
        <v>0</v>
      </c>
      <c r="E184" s="87"/>
      <c r="F184" s="97">
        <v>0</v>
      </c>
      <c r="G184" s="97"/>
      <c r="H184" s="97"/>
      <c r="I184" s="36">
        <f t="shared" si="0"/>
        <v>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48" t="s">
        <v>884</v>
      </c>
      <c r="B185" s="49" t="s">
        <v>885</v>
      </c>
      <c r="C185" s="87">
        <v>0</v>
      </c>
      <c r="D185" s="87">
        <v>0</v>
      </c>
      <c r="E185" s="87"/>
      <c r="F185" s="97">
        <v>0</v>
      </c>
      <c r="G185" s="97"/>
      <c r="H185" s="97"/>
      <c r="I185" s="36">
        <f t="shared" si="0"/>
        <v>0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48" t="s">
        <v>886</v>
      </c>
      <c r="B186" s="49" t="s">
        <v>887</v>
      </c>
      <c r="C186" s="87">
        <v>0</v>
      </c>
      <c r="D186" s="87">
        <v>0</v>
      </c>
      <c r="E186" s="87"/>
      <c r="F186" s="97">
        <v>0</v>
      </c>
      <c r="G186" s="97"/>
      <c r="H186" s="97"/>
      <c r="I186" s="36">
        <f t="shared" si="0"/>
        <v>0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48" t="s">
        <v>888</v>
      </c>
      <c r="B187" s="49" t="s">
        <v>889</v>
      </c>
      <c r="C187" s="87">
        <v>0</v>
      </c>
      <c r="D187" s="87">
        <v>0</v>
      </c>
      <c r="E187" s="87"/>
      <c r="F187" s="97">
        <v>0</v>
      </c>
      <c r="G187" s="97"/>
      <c r="H187" s="97"/>
      <c r="I187" s="36">
        <f t="shared" si="0"/>
        <v>0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48" t="s">
        <v>890</v>
      </c>
      <c r="B188" s="49" t="s">
        <v>891</v>
      </c>
      <c r="C188" s="87">
        <v>13045.52</v>
      </c>
      <c r="D188" s="87">
        <v>0</v>
      </c>
      <c r="E188" s="87"/>
      <c r="F188" s="97">
        <v>825590.8</v>
      </c>
      <c r="G188" s="97"/>
      <c r="H188" s="97"/>
      <c r="I188" s="36">
        <f t="shared" si="0"/>
        <v>825590.8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3" t="s">
        <v>892</v>
      </c>
      <c r="B189" s="14" t="s">
        <v>893</v>
      </c>
      <c r="C189" s="86">
        <v>3629010</v>
      </c>
      <c r="D189" s="86">
        <v>3012661.25</v>
      </c>
      <c r="E189" s="86">
        <v>86389.33</v>
      </c>
      <c r="F189" s="96">
        <v>3536000</v>
      </c>
      <c r="G189" s="96">
        <f>+G190+G191+G192+G193+G194+G195+G196</f>
        <v>24088.904999999999</v>
      </c>
      <c r="H189" s="96">
        <f>ROUND(SUM(H190:H196),2)</f>
        <v>19363.2</v>
      </c>
      <c r="I189" s="15">
        <f t="shared" si="0"/>
        <v>523338.75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25" t="s">
        <v>894</v>
      </c>
      <c r="B190" s="26" t="s">
        <v>895</v>
      </c>
      <c r="C190" s="88">
        <v>190000</v>
      </c>
      <c r="D190" s="88">
        <v>175873.89</v>
      </c>
      <c r="E190" s="88"/>
      <c r="F190" s="98">
        <v>175000</v>
      </c>
      <c r="G190" s="98"/>
      <c r="H190" s="98"/>
      <c r="I190" s="27">
        <f t="shared" si="0"/>
        <v>-873.89000000001397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25" t="s">
        <v>896</v>
      </c>
      <c r="B191" s="26" t="s">
        <v>897</v>
      </c>
      <c r="C191" s="88">
        <v>950000</v>
      </c>
      <c r="D191" s="88">
        <v>620200.67000000004</v>
      </c>
      <c r="E191" s="88">
        <v>31335.97</v>
      </c>
      <c r="F191" s="98">
        <v>800000</v>
      </c>
      <c r="G191" s="98">
        <v>11665.034999999998</v>
      </c>
      <c r="H191" s="98">
        <v>7113.8339646221793</v>
      </c>
      <c r="I191" s="27">
        <f t="shared" si="0"/>
        <v>179799.32999999996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25" t="s">
        <v>898</v>
      </c>
      <c r="B192" s="26" t="s">
        <v>899</v>
      </c>
      <c r="C192" s="88">
        <v>35000</v>
      </c>
      <c r="D192" s="88">
        <v>30745.87</v>
      </c>
      <c r="E192" s="88"/>
      <c r="F192" s="98">
        <v>120000</v>
      </c>
      <c r="G192" s="98"/>
      <c r="H192" s="98"/>
      <c r="I192" s="27">
        <f t="shared" si="0"/>
        <v>89254.13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25" t="s">
        <v>900</v>
      </c>
      <c r="B193" s="26" t="s">
        <v>901</v>
      </c>
      <c r="C193" s="88">
        <v>1158000</v>
      </c>
      <c r="D193" s="88">
        <v>1066224.73</v>
      </c>
      <c r="E193" s="88">
        <v>42912.82</v>
      </c>
      <c r="F193" s="98">
        <v>1158000</v>
      </c>
      <c r="G193" s="98">
        <v>11335.35</v>
      </c>
      <c r="H193" s="98">
        <v>11160.849999999999</v>
      </c>
      <c r="I193" s="27">
        <f t="shared" si="0"/>
        <v>91775.270000000019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25" t="s">
        <v>902</v>
      </c>
      <c r="B194" s="26" t="s">
        <v>903</v>
      </c>
      <c r="C194" s="88">
        <v>1200000</v>
      </c>
      <c r="D194" s="88">
        <v>1036593.79</v>
      </c>
      <c r="E194" s="88">
        <v>10509.4</v>
      </c>
      <c r="F194" s="98">
        <v>1200000</v>
      </c>
      <c r="G194" s="98">
        <v>1088.52</v>
      </c>
      <c r="H194" s="98">
        <v>1088.52</v>
      </c>
      <c r="I194" s="27">
        <f t="shared" si="0"/>
        <v>163406.20999999996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25" t="s">
        <v>904</v>
      </c>
      <c r="B195" s="26" t="s">
        <v>905</v>
      </c>
      <c r="C195" s="88">
        <v>96010</v>
      </c>
      <c r="D195" s="88">
        <v>83022.3</v>
      </c>
      <c r="E195" s="88">
        <v>1631.14</v>
      </c>
      <c r="F195" s="98">
        <v>83000</v>
      </c>
      <c r="G195" s="98"/>
      <c r="H195" s="98"/>
      <c r="I195" s="27">
        <f t="shared" si="0"/>
        <v>-22.30000000000291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48" t="s">
        <v>906</v>
      </c>
      <c r="B196" s="49" t="s">
        <v>907</v>
      </c>
      <c r="C196" s="87">
        <v>0</v>
      </c>
      <c r="D196" s="87">
        <v>0</v>
      </c>
      <c r="E196" s="87"/>
      <c r="F196" s="97">
        <v>0</v>
      </c>
      <c r="G196" s="97"/>
      <c r="H196" s="97"/>
      <c r="I196" s="36">
        <f t="shared" si="0"/>
        <v>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0" t="s">
        <v>908</v>
      </c>
      <c r="B197" s="11" t="s">
        <v>909</v>
      </c>
      <c r="C197" s="85">
        <v>107679819.19</v>
      </c>
      <c r="D197" s="85">
        <v>109497243.52</v>
      </c>
      <c r="E197" s="85">
        <v>3859419.63</v>
      </c>
      <c r="F197" s="95">
        <v>114844543.66</v>
      </c>
      <c r="G197" s="95">
        <f>+G198+G344</f>
        <v>5673711.6742857145</v>
      </c>
      <c r="H197" s="95">
        <f>ROUND(+H198+H344,2)</f>
        <v>1180233.57</v>
      </c>
      <c r="I197" s="12">
        <f t="shared" si="0"/>
        <v>5347300.1400000006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3" t="s">
        <v>910</v>
      </c>
      <c r="B198" s="14" t="s">
        <v>911</v>
      </c>
      <c r="C198" s="86">
        <v>37350784.609999999</v>
      </c>
      <c r="D198" s="86">
        <v>40664618.640000001</v>
      </c>
      <c r="E198" s="86">
        <v>1612924.17</v>
      </c>
      <c r="F198" s="96">
        <v>39124589.57</v>
      </c>
      <c r="G198" s="96">
        <f>+G199+G207+G211+G230+G236+G241+G246+G256+G262+G269+G275+G280+G299+G307+G315+G329+G343</f>
        <v>4050867.8528571432</v>
      </c>
      <c r="H198" s="96">
        <f>ROUND(+H199+H207+H211+H230+H236+H241+H246+H256+H262+H269+H275+H280+H299+H307+H315+H329+H343,2)</f>
        <v>817114.21</v>
      </c>
      <c r="I198" s="15">
        <f t="shared" si="0"/>
        <v>-1540029.0700000003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3" t="s">
        <v>912</v>
      </c>
      <c r="B199" s="14" t="s">
        <v>913</v>
      </c>
      <c r="C199" s="86">
        <v>0</v>
      </c>
      <c r="D199" s="86">
        <v>0</v>
      </c>
      <c r="E199" s="86">
        <v>0</v>
      </c>
      <c r="F199" s="96">
        <v>0</v>
      </c>
      <c r="G199" s="96">
        <f>+G200+G205+G206</f>
        <v>0</v>
      </c>
      <c r="H199" s="96">
        <f>ROUND(+H200+H205+H206,2)</f>
        <v>0</v>
      </c>
      <c r="I199" s="15">
        <f t="shared" si="0"/>
        <v>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28" t="s">
        <v>914</v>
      </c>
      <c r="B200" s="29" t="s">
        <v>915</v>
      </c>
      <c r="C200" s="86">
        <v>0</v>
      </c>
      <c r="D200" s="86">
        <v>0</v>
      </c>
      <c r="E200" s="86">
        <v>0</v>
      </c>
      <c r="F200" s="96">
        <v>0</v>
      </c>
      <c r="G200" s="96">
        <f>+G201+G202+G203+G204</f>
        <v>0</v>
      </c>
      <c r="H200" s="96">
        <f>ROUND(SUM(H201:H204),2)</f>
        <v>0</v>
      </c>
      <c r="I200" s="30">
        <f t="shared" si="0"/>
        <v>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25" t="s">
        <v>916</v>
      </c>
      <c r="B201" s="26" t="s">
        <v>917</v>
      </c>
      <c r="C201" s="88">
        <v>0</v>
      </c>
      <c r="D201" s="88">
        <v>0</v>
      </c>
      <c r="E201" s="88"/>
      <c r="F201" s="98">
        <v>0</v>
      </c>
      <c r="G201" s="98"/>
      <c r="H201" s="98"/>
      <c r="I201" s="27">
        <f t="shared" si="0"/>
        <v>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25" t="s">
        <v>918</v>
      </c>
      <c r="B202" s="26" t="s">
        <v>919</v>
      </c>
      <c r="C202" s="88">
        <v>0</v>
      </c>
      <c r="D202" s="88">
        <v>0</v>
      </c>
      <c r="E202" s="88"/>
      <c r="F202" s="98">
        <v>0</v>
      </c>
      <c r="G202" s="98"/>
      <c r="H202" s="98"/>
      <c r="I202" s="27">
        <f t="shared" si="0"/>
        <v>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25" t="s">
        <v>920</v>
      </c>
      <c r="B203" s="26" t="s">
        <v>921</v>
      </c>
      <c r="C203" s="88">
        <v>0</v>
      </c>
      <c r="D203" s="88">
        <v>0</v>
      </c>
      <c r="E203" s="88"/>
      <c r="F203" s="98">
        <v>0</v>
      </c>
      <c r="G203" s="98"/>
      <c r="H203" s="98"/>
      <c r="I203" s="27">
        <f t="shared" si="0"/>
        <v>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25" t="s">
        <v>922</v>
      </c>
      <c r="B204" s="26" t="s">
        <v>923</v>
      </c>
      <c r="C204" s="88">
        <v>0</v>
      </c>
      <c r="D204" s="88">
        <v>0</v>
      </c>
      <c r="E204" s="88"/>
      <c r="F204" s="98">
        <v>0</v>
      </c>
      <c r="G204" s="98"/>
      <c r="H204" s="98"/>
      <c r="I204" s="27">
        <f t="shared" si="0"/>
        <v>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45" t="s">
        <v>924</v>
      </c>
      <c r="B205" s="46" t="s">
        <v>925</v>
      </c>
      <c r="C205" s="88">
        <v>0</v>
      </c>
      <c r="D205" s="88">
        <v>0</v>
      </c>
      <c r="E205" s="88"/>
      <c r="F205" s="98">
        <v>0</v>
      </c>
      <c r="G205" s="98"/>
      <c r="H205" s="98"/>
      <c r="I205" s="47">
        <f t="shared" si="0"/>
        <v>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45" t="s">
        <v>926</v>
      </c>
      <c r="B206" s="46" t="s">
        <v>927</v>
      </c>
      <c r="C206" s="88">
        <v>0</v>
      </c>
      <c r="D206" s="88">
        <v>0</v>
      </c>
      <c r="E206" s="88"/>
      <c r="F206" s="98">
        <v>0</v>
      </c>
      <c r="G206" s="98"/>
      <c r="H206" s="98"/>
      <c r="I206" s="47">
        <f t="shared" si="0"/>
        <v>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3" t="s">
        <v>928</v>
      </c>
      <c r="B207" s="14" t="s">
        <v>929</v>
      </c>
      <c r="C207" s="86">
        <v>0</v>
      </c>
      <c r="D207" s="86">
        <v>0</v>
      </c>
      <c r="E207" s="86">
        <v>0</v>
      </c>
      <c r="F207" s="96">
        <v>0</v>
      </c>
      <c r="G207" s="96">
        <f>+G208+G209+G210</f>
        <v>0</v>
      </c>
      <c r="H207" s="96">
        <f>ROUND(+H208+H209+H210,2)</f>
        <v>0</v>
      </c>
      <c r="I207" s="15">
        <f t="shared" si="0"/>
        <v>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25" t="s">
        <v>930</v>
      </c>
      <c r="B208" s="26" t="s">
        <v>931</v>
      </c>
      <c r="C208" s="88">
        <v>0</v>
      </c>
      <c r="D208" s="88">
        <v>0</v>
      </c>
      <c r="E208" s="88"/>
      <c r="F208" s="98">
        <v>0</v>
      </c>
      <c r="G208" s="98"/>
      <c r="H208" s="98"/>
      <c r="I208" s="27">
        <f t="shared" si="0"/>
        <v>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45" t="s">
        <v>932</v>
      </c>
      <c r="B209" s="46" t="s">
        <v>933</v>
      </c>
      <c r="C209" s="88">
        <v>0</v>
      </c>
      <c r="D209" s="88">
        <v>0</v>
      </c>
      <c r="E209" s="88"/>
      <c r="F209" s="98">
        <v>0</v>
      </c>
      <c r="G209" s="98"/>
      <c r="H209" s="98"/>
      <c r="I209" s="47">
        <f t="shared" si="0"/>
        <v>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45" t="s">
        <v>934</v>
      </c>
      <c r="B210" s="46" t="s">
        <v>935</v>
      </c>
      <c r="C210" s="88">
        <v>0</v>
      </c>
      <c r="D210" s="88">
        <v>0</v>
      </c>
      <c r="E210" s="88"/>
      <c r="F210" s="98">
        <v>0</v>
      </c>
      <c r="G210" s="98"/>
      <c r="H210" s="98"/>
      <c r="I210" s="47">
        <f t="shared" si="0"/>
        <v>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3" t="s">
        <v>936</v>
      </c>
      <c r="B211" s="14" t="s">
        <v>937</v>
      </c>
      <c r="C211" s="86">
        <v>635188</v>
      </c>
      <c r="D211" s="86">
        <v>506161.8</v>
      </c>
      <c r="E211" s="86">
        <v>0</v>
      </c>
      <c r="F211" s="96">
        <v>510000</v>
      </c>
      <c r="G211" s="96">
        <f>+G212+G213+G214+G215+G216+G217+G218+G219+G228+G229</f>
        <v>0</v>
      </c>
      <c r="H211" s="96">
        <f>ROUND(SUM(H212:H219)+H228+H229,2)</f>
        <v>0</v>
      </c>
      <c r="I211" s="15">
        <f t="shared" si="0"/>
        <v>3838.2000000000116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45" t="s">
        <v>938</v>
      </c>
      <c r="B212" s="46" t="s">
        <v>939</v>
      </c>
      <c r="C212" s="88">
        <v>0</v>
      </c>
      <c r="D212" s="88">
        <v>0</v>
      </c>
      <c r="E212" s="88"/>
      <c r="F212" s="98">
        <v>0</v>
      </c>
      <c r="G212" s="98"/>
      <c r="H212" s="98"/>
      <c r="I212" s="47">
        <f t="shared" si="0"/>
        <v>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45" t="s">
        <v>940</v>
      </c>
      <c r="B213" s="46" t="s">
        <v>941</v>
      </c>
      <c r="C213" s="88">
        <v>0</v>
      </c>
      <c r="D213" s="88">
        <v>0</v>
      </c>
      <c r="E213" s="88"/>
      <c r="F213" s="98">
        <v>0</v>
      </c>
      <c r="G213" s="98"/>
      <c r="H213" s="98"/>
      <c r="I213" s="47">
        <f t="shared" si="0"/>
        <v>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52" t="s">
        <v>942</v>
      </c>
      <c r="B214" s="53" t="s">
        <v>943</v>
      </c>
      <c r="C214" s="88">
        <v>0</v>
      </c>
      <c r="D214" s="88">
        <v>0</v>
      </c>
      <c r="E214" s="88"/>
      <c r="F214" s="98">
        <v>0</v>
      </c>
      <c r="G214" s="98"/>
      <c r="H214" s="98"/>
      <c r="I214" s="54">
        <f t="shared" si="0"/>
        <v>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45" t="s">
        <v>944</v>
      </c>
      <c r="B215" s="46" t="s">
        <v>945</v>
      </c>
      <c r="C215" s="88">
        <v>0</v>
      </c>
      <c r="D215" s="88">
        <v>0</v>
      </c>
      <c r="E215" s="88"/>
      <c r="F215" s="98">
        <v>0</v>
      </c>
      <c r="G215" s="98"/>
      <c r="H215" s="98"/>
      <c r="I215" s="47">
        <f t="shared" si="0"/>
        <v>0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45" t="s">
        <v>946</v>
      </c>
      <c r="B216" s="46" t="s">
        <v>947</v>
      </c>
      <c r="C216" s="88">
        <v>0</v>
      </c>
      <c r="D216" s="88">
        <v>0</v>
      </c>
      <c r="E216" s="88"/>
      <c r="F216" s="98">
        <v>0</v>
      </c>
      <c r="G216" s="98"/>
      <c r="H216" s="98"/>
      <c r="I216" s="47">
        <f t="shared" si="0"/>
        <v>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45" t="s">
        <v>948</v>
      </c>
      <c r="B217" s="46" t="s">
        <v>949</v>
      </c>
      <c r="C217" s="88">
        <v>0</v>
      </c>
      <c r="D217" s="88">
        <v>0</v>
      </c>
      <c r="E217" s="88"/>
      <c r="F217" s="98">
        <v>0</v>
      </c>
      <c r="G217" s="98"/>
      <c r="H217" s="98"/>
      <c r="I217" s="47">
        <f t="shared" si="0"/>
        <v>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25" t="s">
        <v>950</v>
      </c>
      <c r="B218" s="26" t="s">
        <v>951</v>
      </c>
      <c r="C218" s="88">
        <v>635188</v>
      </c>
      <c r="D218" s="88">
        <v>506161.8</v>
      </c>
      <c r="E218" s="88"/>
      <c r="F218" s="98">
        <v>510000</v>
      </c>
      <c r="G218" s="98"/>
      <c r="H218" s="98"/>
      <c r="I218" s="27">
        <f t="shared" si="0"/>
        <v>3838.2000000000116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28" t="s">
        <v>952</v>
      </c>
      <c r="B219" s="29" t="s">
        <v>953</v>
      </c>
      <c r="C219" s="86">
        <v>0</v>
      </c>
      <c r="D219" s="86">
        <v>0</v>
      </c>
      <c r="E219" s="86">
        <v>0</v>
      </c>
      <c r="F219" s="96">
        <v>0</v>
      </c>
      <c r="G219" s="96">
        <f>+G220+G221+G222+G223+G225+G226+G227+G224</f>
        <v>0</v>
      </c>
      <c r="H219" s="96">
        <f>ROUND(SUM(H220:H227),2)</f>
        <v>0</v>
      </c>
      <c r="I219" s="30">
        <f t="shared" si="0"/>
        <v>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37" t="s">
        <v>954</v>
      </c>
      <c r="B220" s="38" t="s">
        <v>955</v>
      </c>
      <c r="C220" s="87">
        <v>0</v>
      </c>
      <c r="D220" s="87">
        <v>0</v>
      </c>
      <c r="E220" s="87"/>
      <c r="F220" s="97">
        <v>0</v>
      </c>
      <c r="G220" s="97"/>
      <c r="H220" s="97"/>
      <c r="I220" s="39">
        <f t="shared" si="0"/>
        <v>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37" t="s">
        <v>956</v>
      </c>
      <c r="B221" s="38" t="s">
        <v>957</v>
      </c>
      <c r="C221" s="87">
        <v>0</v>
      </c>
      <c r="D221" s="87">
        <v>0</v>
      </c>
      <c r="E221" s="87"/>
      <c r="F221" s="97">
        <v>0</v>
      </c>
      <c r="G221" s="97"/>
      <c r="H221" s="97"/>
      <c r="I221" s="39">
        <f t="shared" si="0"/>
        <v>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37" t="s">
        <v>958</v>
      </c>
      <c r="B222" s="38" t="s">
        <v>959</v>
      </c>
      <c r="C222" s="87">
        <v>0</v>
      </c>
      <c r="D222" s="87">
        <v>0</v>
      </c>
      <c r="E222" s="87"/>
      <c r="F222" s="97">
        <v>0</v>
      </c>
      <c r="G222" s="97"/>
      <c r="H222" s="97"/>
      <c r="I222" s="39">
        <f t="shared" si="0"/>
        <v>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37" t="s">
        <v>960</v>
      </c>
      <c r="B223" s="38" t="s">
        <v>961</v>
      </c>
      <c r="C223" s="87">
        <v>0</v>
      </c>
      <c r="D223" s="87">
        <v>0</v>
      </c>
      <c r="E223" s="87"/>
      <c r="F223" s="97">
        <v>0</v>
      </c>
      <c r="G223" s="97"/>
      <c r="H223" s="97"/>
      <c r="I223" s="39">
        <f t="shared" si="0"/>
        <v>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37" t="s">
        <v>962</v>
      </c>
      <c r="B224" s="38" t="s">
        <v>963</v>
      </c>
      <c r="C224" s="87">
        <v>0</v>
      </c>
      <c r="D224" s="87">
        <v>0</v>
      </c>
      <c r="E224" s="87"/>
      <c r="F224" s="97">
        <v>0</v>
      </c>
      <c r="G224" s="97"/>
      <c r="H224" s="97"/>
      <c r="I224" s="39">
        <f t="shared" si="0"/>
        <v>0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37" t="s">
        <v>964</v>
      </c>
      <c r="B225" s="38" t="s">
        <v>965</v>
      </c>
      <c r="C225" s="87">
        <v>0</v>
      </c>
      <c r="D225" s="87">
        <v>0</v>
      </c>
      <c r="E225" s="87"/>
      <c r="F225" s="97">
        <v>0</v>
      </c>
      <c r="G225" s="97"/>
      <c r="H225" s="97"/>
      <c r="I225" s="39">
        <f t="shared" si="0"/>
        <v>0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37" t="s">
        <v>966</v>
      </c>
      <c r="B226" s="38" t="s">
        <v>967</v>
      </c>
      <c r="C226" s="87">
        <v>0</v>
      </c>
      <c r="D226" s="87">
        <v>0</v>
      </c>
      <c r="E226" s="87"/>
      <c r="F226" s="97">
        <v>0</v>
      </c>
      <c r="G226" s="97"/>
      <c r="H226" s="97"/>
      <c r="I226" s="39">
        <f t="shared" si="0"/>
        <v>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37" t="s">
        <v>968</v>
      </c>
      <c r="B227" s="38" t="s">
        <v>969</v>
      </c>
      <c r="C227" s="87">
        <v>0</v>
      </c>
      <c r="D227" s="87">
        <v>0</v>
      </c>
      <c r="E227" s="87"/>
      <c r="F227" s="97">
        <v>0</v>
      </c>
      <c r="G227" s="97"/>
      <c r="H227" s="97"/>
      <c r="I227" s="39">
        <f t="shared" si="0"/>
        <v>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25" t="s">
        <v>970</v>
      </c>
      <c r="B228" s="26" t="s">
        <v>971</v>
      </c>
      <c r="C228" s="88">
        <v>0</v>
      </c>
      <c r="D228" s="88">
        <v>0</v>
      </c>
      <c r="E228" s="88"/>
      <c r="F228" s="98">
        <v>0</v>
      </c>
      <c r="G228" s="98"/>
      <c r="H228" s="98"/>
      <c r="I228" s="27">
        <f t="shared" si="0"/>
        <v>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37" t="s">
        <v>972</v>
      </c>
      <c r="B229" s="38" t="s">
        <v>973</v>
      </c>
      <c r="C229" s="87">
        <v>0</v>
      </c>
      <c r="D229" s="87">
        <v>0</v>
      </c>
      <c r="E229" s="87"/>
      <c r="F229" s="97">
        <v>0</v>
      </c>
      <c r="G229" s="97"/>
      <c r="H229" s="97"/>
      <c r="I229" s="39">
        <f t="shared" si="0"/>
        <v>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3" t="s">
        <v>974</v>
      </c>
      <c r="B230" s="14" t="s">
        <v>975</v>
      </c>
      <c r="C230" s="86">
        <v>0</v>
      </c>
      <c r="D230" s="86">
        <v>0</v>
      </c>
      <c r="E230" s="86">
        <v>0</v>
      </c>
      <c r="F230" s="96">
        <v>0</v>
      </c>
      <c r="G230" s="96">
        <f>+G231+G232+G233+G234+G235</f>
        <v>0</v>
      </c>
      <c r="H230" s="96">
        <f>ROUND(SUM(H231:H235),2)</f>
        <v>0</v>
      </c>
      <c r="I230" s="15">
        <f t="shared" si="0"/>
        <v>0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45" t="s">
        <v>976</v>
      </c>
      <c r="B231" s="46" t="s">
        <v>977</v>
      </c>
      <c r="C231" s="88">
        <v>0</v>
      </c>
      <c r="D231" s="88">
        <v>0</v>
      </c>
      <c r="E231" s="88"/>
      <c r="F231" s="98">
        <v>0</v>
      </c>
      <c r="G231" s="98"/>
      <c r="H231" s="98"/>
      <c r="I231" s="47">
        <f t="shared" si="0"/>
        <v>0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25" t="s">
        <v>978</v>
      </c>
      <c r="B232" s="26" t="s">
        <v>979</v>
      </c>
      <c r="C232" s="88">
        <v>0</v>
      </c>
      <c r="D232" s="88">
        <v>0</v>
      </c>
      <c r="E232" s="88"/>
      <c r="F232" s="98">
        <v>0</v>
      </c>
      <c r="G232" s="98"/>
      <c r="H232" s="98"/>
      <c r="I232" s="27">
        <f t="shared" si="0"/>
        <v>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25" t="s">
        <v>980</v>
      </c>
      <c r="B233" s="26" t="s">
        <v>981</v>
      </c>
      <c r="C233" s="88">
        <v>0</v>
      </c>
      <c r="D233" s="88">
        <v>0</v>
      </c>
      <c r="E233" s="88"/>
      <c r="F233" s="98">
        <v>0</v>
      </c>
      <c r="G233" s="98"/>
      <c r="H233" s="98"/>
      <c r="I233" s="27">
        <f t="shared" si="0"/>
        <v>0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25" t="s">
        <v>982</v>
      </c>
      <c r="B234" s="26" t="s">
        <v>983</v>
      </c>
      <c r="C234" s="88">
        <v>0</v>
      </c>
      <c r="D234" s="88">
        <v>0</v>
      </c>
      <c r="E234" s="88"/>
      <c r="F234" s="98">
        <v>0</v>
      </c>
      <c r="G234" s="98"/>
      <c r="H234" s="98"/>
      <c r="I234" s="27">
        <f t="shared" si="0"/>
        <v>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25" t="s">
        <v>984</v>
      </c>
      <c r="B235" s="26" t="s">
        <v>985</v>
      </c>
      <c r="C235" s="88">
        <v>0</v>
      </c>
      <c r="D235" s="88">
        <v>0</v>
      </c>
      <c r="E235" s="88"/>
      <c r="F235" s="98">
        <v>0</v>
      </c>
      <c r="G235" s="98"/>
      <c r="H235" s="98"/>
      <c r="I235" s="27">
        <f t="shared" si="0"/>
        <v>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3" t="s">
        <v>986</v>
      </c>
      <c r="B236" s="14" t="s">
        <v>987</v>
      </c>
      <c r="C236" s="86">
        <v>185000</v>
      </c>
      <c r="D236" s="86">
        <v>0</v>
      </c>
      <c r="E236" s="86">
        <v>0</v>
      </c>
      <c r="F236" s="96">
        <v>0</v>
      </c>
      <c r="G236" s="96">
        <f>+G237+G238+G239+G240</f>
        <v>0</v>
      </c>
      <c r="H236" s="96">
        <f>ROUND(SUM(H237:H240),2)</f>
        <v>0</v>
      </c>
      <c r="I236" s="15">
        <f t="shared" si="0"/>
        <v>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48" t="s">
        <v>988</v>
      </c>
      <c r="B237" s="49" t="s">
        <v>989</v>
      </c>
      <c r="C237" s="87">
        <v>185000</v>
      </c>
      <c r="D237" s="87">
        <v>0</v>
      </c>
      <c r="E237" s="87"/>
      <c r="F237" s="97">
        <v>0</v>
      </c>
      <c r="G237" s="97"/>
      <c r="H237" s="97"/>
      <c r="I237" s="36">
        <f t="shared" si="0"/>
        <v>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25" t="s">
        <v>990</v>
      </c>
      <c r="B238" s="26" t="s">
        <v>991</v>
      </c>
      <c r="C238" s="88">
        <v>0</v>
      </c>
      <c r="D238" s="88">
        <v>0</v>
      </c>
      <c r="E238" s="88"/>
      <c r="F238" s="98">
        <v>0</v>
      </c>
      <c r="G238" s="98"/>
      <c r="H238" s="98"/>
      <c r="I238" s="27">
        <f t="shared" si="0"/>
        <v>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25" t="s">
        <v>992</v>
      </c>
      <c r="B239" s="26" t="s">
        <v>993</v>
      </c>
      <c r="C239" s="88">
        <v>0</v>
      </c>
      <c r="D239" s="88">
        <v>0</v>
      </c>
      <c r="E239" s="88"/>
      <c r="F239" s="98">
        <v>0</v>
      </c>
      <c r="G239" s="98"/>
      <c r="H239" s="98"/>
      <c r="I239" s="27">
        <f t="shared" si="0"/>
        <v>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25" t="s">
        <v>994</v>
      </c>
      <c r="B240" s="26" t="s">
        <v>995</v>
      </c>
      <c r="C240" s="88">
        <v>0</v>
      </c>
      <c r="D240" s="88">
        <v>0</v>
      </c>
      <c r="E240" s="88"/>
      <c r="F240" s="98">
        <v>0</v>
      </c>
      <c r="G240" s="98"/>
      <c r="H240" s="98"/>
      <c r="I240" s="27">
        <f t="shared" si="0"/>
        <v>0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3" t="s">
        <v>996</v>
      </c>
      <c r="B241" s="14" t="s">
        <v>997</v>
      </c>
      <c r="C241" s="86">
        <v>0</v>
      </c>
      <c r="D241" s="86">
        <v>0</v>
      </c>
      <c r="E241" s="86">
        <v>0</v>
      </c>
      <c r="F241" s="96">
        <v>0</v>
      </c>
      <c r="G241" s="96">
        <f>+G242+G243+G244+G245</f>
        <v>0</v>
      </c>
      <c r="H241" s="96">
        <f>ROUND(SUM(H242:H245),2)</f>
        <v>0</v>
      </c>
      <c r="I241" s="15">
        <f t="shared" si="0"/>
        <v>0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48" t="s">
        <v>998</v>
      </c>
      <c r="B242" s="49" t="s">
        <v>999</v>
      </c>
      <c r="C242" s="87">
        <v>0</v>
      </c>
      <c r="D242" s="87">
        <v>0</v>
      </c>
      <c r="E242" s="87"/>
      <c r="F242" s="97">
        <v>0</v>
      </c>
      <c r="G242" s="97"/>
      <c r="H242" s="97"/>
      <c r="I242" s="36">
        <f t="shared" si="0"/>
        <v>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25" t="s">
        <v>1000</v>
      </c>
      <c r="B243" s="26" t="s">
        <v>1001</v>
      </c>
      <c r="C243" s="88">
        <v>0</v>
      </c>
      <c r="D243" s="88">
        <v>0</v>
      </c>
      <c r="E243" s="88"/>
      <c r="F243" s="98">
        <v>0</v>
      </c>
      <c r="G243" s="98"/>
      <c r="H243" s="98"/>
      <c r="I243" s="27">
        <f t="shared" si="0"/>
        <v>0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52" t="s">
        <v>1002</v>
      </c>
      <c r="B244" s="53" t="s">
        <v>1003</v>
      </c>
      <c r="C244" s="88">
        <v>0</v>
      </c>
      <c r="D244" s="88">
        <v>0</v>
      </c>
      <c r="E244" s="88"/>
      <c r="F244" s="98">
        <v>0</v>
      </c>
      <c r="G244" s="98"/>
      <c r="H244" s="98"/>
      <c r="I244" s="54">
        <f t="shared" si="0"/>
        <v>0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25" t="s">
        <v>1004</v>
      </c>
      <c r="B245" s="26" t="s">
        <v>1005</v>
      </c>
      <c r="C245" s="88">
        <v>0</v>
      </c>
      <c r="D245" s="88">
        <v>0</v>
      </c>
      <c r="E245" s="88"/>
      <c r="F245" s="98">
        <v>0</v>
      </c>
      <c r="G245" s="98"/>
      <c r="H245" s="98"/>
      <c r="I245" s="27">
        <f t="shared" si="0"/>
        <v>0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3" t="s">
        <v>1006</v>
      </c>
      <c r="B246" s="14" t="s">
        <v>1007</v>
      </c>
      <c r="C246" s="86">
        <v>0</v>
      </c>
      <c r="D246" s="86">
        <v>0</v>
      </c>
      <c r="E246" s="86">
        <v>0</v>
      </c>
      <c r="F246" s="96">
        <v>0</v>
      </c>
      <c r="G246" s="96">
        <f>+G247+G248+G249+G250+G255</f>
        <v>0</v>
      </c>
      <c r="H246" s="96">
        <f>ROUND(SUM(H247:H250,H255),2)</f>
        <v>0</v>
      </c>
      <c r="I246" s="15">
        <f t="shared" si="0"/>
        <v>0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45" t="s">
        <v>1008</v>
      </c>
      <c r="B247" s="46" t="s">
        <v>1009</v>
      </c>
      <c r="C247" s="88">
        <v>0</v>
      </c>
      <c r="D247" s="88">
        <v>0</v>
      </c>
      <c r="E247" s="88"/>
      <c r="F247" s="98">
        <v>0</v>
      </c>
      <c r="G247" s="98"/>
      <c r="H247" s="98"/>
      <c r="I247" s="47">
        <f t="shared" si="0"/>
        <v>0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25" t="s">
        <v>1010</v>
      </c>
      <c r="B248" s="26" t="s">
        <v>1011</v>
      </c>
      <c r="C248" s="88">
        <v>0</v>
      </c>
      <c r="D248" s="88">
        <v>0</v>
      </c>
      <c r="E248" s="88"/>
      <c r="F248" s="98">
        <v>0</v>
      </c>
      <c r="G248" s="98"/>
      <c r="H248" s="98"/>
      <c r="I248" s="27">
        <f t="shared" si="0"/>
        <v>0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45" t="s">
        <v>1012</v>
      </c>
      <c r="B249" s="46" t="s">
        <v>1013</v>
      </c>
      <c r="C249" s="88">
        <v>0</v>
      </c>
      <c r="D249" s="88">
        <v>0</v>
      </c>
      <c r="E249" s="88"/>
      <c r="F249" s="98">
        <v>0</v>
      </c>
      <c r="G249" s="98"/>
      <c r="H249" s="98"/>
      <c r="I249" s="47">
        <f t="shared" si="0"/>
        <v>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28" t="s">
        <v>1014</v>
      </c>
      <c r="B250" s="29" t="s">
        <v>1015</v>
      </c>
      <c r="C250" s="86">
        <v>0</v>
      </c>
      <c r="D250" s="86">
        <v>0</v>
      </c>
      <c r="E250" s="86">
        <v>0</v>
      </c>
      <c r="F250" s="96">
        <v>0</v>
      </c>
      <c r="G250" s="96">
        <f>+G251+G252+G253+G254</f>
        <v>0</v>
      </c>
      <c r="H250" s="96">
        <f>ROUND(SUM(H251:H254),2)</f>
        <v>0</v>
      </c>
      <c r="I250" s="30">
        <f t="shared" si="0"/>
        <v>0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37" t="s">
        <v>1016</v>
      </c>
      <c r="B251" s="38" t="s">
        <v>1017</v>
      </c>
      <c r="C251" s="87">
        <v>0</v>
      </c>
      <c r="D251" s="87">
        <v>0</v>
      </c>
      <c r="E251" s="87"/>
      <c r="F251" s="97">
        <v>0</v>
      </c>
      <c r="G251" s="97"/>
      <c r="H251" s="97"/>
      <c r="I251" s="39">
        <f t="shared" si="0"/>
        <v>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37" t="s">
        <v>1018</v>
      </c>
      <c r="B252" s="38" t="s">
        <v>1019</v>
      </c>
      <c r="C252" s="87">
        <v>0</v>
      </c>
      <c r="D252" s="87">
        <v>0</v>
      </c>
      <c r="E252" s="87"/>
      <c r="F252" s="97">
        <v>0</v>
      </c>
      <c r="G252" s="97"/>
      <c r="H252" s="97"/>
      <c r="I252" s="39">
        <f t="shared" si="0"/>
        <v>0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37" t="s">
        <v>1020</v>
      </c>
      <c r="B253" s="38" t="s">
        <v>1021</v>
      </c>
      <c r="C253" s="87">
        <v>0</v>
      </c>
      <c r="D253" s="87">
        <v>0</v>
      </c>
      <c r="E253" s="87"/>
      <c r="F253" s="97">
        <v>0</v>
      </c>
      <c r="G253" s="97"/>
      <c r="H253" s="97"/>
      <c r="I253" s="39">
        <f t="shared" si="0"/>
        <v>0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37" t="s">
        <v>1022</v>
      </c>
      <c r="B254" s="38" t="s">
        <v>1023</v>
      </c>
      <c r="C254" s="87">
        <v>0</v>
      </c>
      <c r="D254" s="87">
        <v>0</v>
      </c>
      <c r="E254" s="87"/>
      <c r="F254" s="97">
        <v>0</v>
      </c>
      <c r="G254" s="97"/>
      <c r="H254" s="97"/>
      <c r="I254" s="39">
        <f t="shared" si="0"/>
        <v>0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25" t="s">
        <v>1024</v>
      </c>
      <c r="B255" s="26" t="s">
        <v>1025</v>
      </c>
      <c r="C255" s="88">
        <v>0</v>
      </c>
      <c r="D255" s="88">
        <v>0</v>
      </c>
      <c r="E255" s="88"/>
      <c r="F255" s="98">
        <v>0</v>
      </c>
      <c r="G255" s="98"/>
      <c r="H255" s="98"/>
      <c r="I255" s="27">
        <f t="shared" si="0"/>
        <v>0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3" t="s">
        <v>1026</v>
      </c>
      <c r="B256" s="14" t="s">
        <v>1027</v>
      </c>
      <c r="C256" s="86">
        <v>0</v>
      </c>
      <c r="D256" s="86">
        <v>0</v>
      </c>
      <c r="E256" s="86">
        <v>0</v>
      </c>
      <c r="F256" s="96">
        <v>0</v>
      </c>
      <c r="G256" s="96">
        <f>SUM(G257:G261)</f>
        <v>0</v>
      </c>
      <c r="H256" s="96">
        <f>ROUND(SUM(H257:H261),2)</f>
        <v>0</v>
      </c>
      <c r="I256" s="15">
        <f t="shared" si="0"/>
        <v>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45" t="s">
        <v>1028</v>
      </c>
      <c r="B257" s="46" t="s">
        <v>1029</v>
      </c>
      <c r="C257" s="88">
        <v>0</v>
      </c>
      <c r="D257" s="88">
        <v>0</v>
      </c>
      <c r="E257" s="88"/>
      <c r="F257" s="98">
        <v>0</v>
      </c>
      <c r="G257" s="98"/>
      <c r="H257" s="98"/>
      <c r="I257" s="47">
        <f t="shared" si="0"/>
        <v>0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25" t="s">
        <v>1030</v>
      </c>
      <c r="B258" s="26" t="s">
        <v>1031</v>
      </c>
      <c r="C258" s="88">
        <v>0</v>
      </c>
      <c r="D258" s="88">
        <v>0</v>
      </c>
      <c r="E258" s="88"/>
      <c r="F258" s="98">
        <v>0</v>
      </c>
      <c r="G258" s="98"/>
      <c r="H258" s="98"/>
      <c r="I258" s="27">
        <f t="shared" si="0"/>
        <v>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25" t="s">
        <v>1032</v>
      </c>
      <c r="B259" s="26" t="s">
        <v>1033</v>
      </c>
      <c r="C259" s="88">
        <v>0</v>
      </c>
      <c r="D259" s="88">
        <v>0</v>
      </c>
      <c r="E259" s="88"/>
      <c r="F259" s="98">
        <v>0</v>
      </c>
      <c r="G259" s="98"/>
      <c r="H259" s="98"/>
      <c r="I259" s="27">
        <f t="shared" si="0"/>
        <v>0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25" t="s">
        <v>1034</v>
      </c>
      <c r="B260" s="26" t="s">
        <v>1035</v>
      </c>
      <c r="C260" s="88">
        <v>0</v>
      </c>
      <c r="D260" s="88">
        <v>0</v>
      </c>
      <c r="E260" s="88"/>
      <c r="F260" s="98">
        <v>0</v>
      </c>
      <c r="G260" s="98"/>
      <c r="H260" s="98"/>
      <c r="I260" s="27">
        <f t="shared" si="0"/>
        <v>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25" t="s">
        <v>1036</v>
      </c>
      <c r="B261" s="26" t="s">
        <v>1037</v>
      </c>
      <c r="C261" s="88">
        <v>0</v>
      </c>
      <c r="D261" s="88">
        <v>0</v>
      </c>
      <c r="E261" s="88"/>
      <c r="F261" s="98">
        <v>0</v>
      </c>
      <c r="G261" s="98"/>
      <c r="H261" s="98"/>
      <c r="I261" s="27">
        <f t="shared" si="0"/>
        <v>0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3" t="s">
        <v>1038</v>
      </c>
      <c r="B262" s="14" t="s">
        <v>1039</v>
      </c>
      <c r="C262" s="86">
        <v>0</v>
      </c>
      <c r="D262" s="86">
        <v>0</v>
      </c>
      <c r="E262" s="86">
        <v>0</v>
      </c>
      <c r="F262" s="96">
        <v>0</v>
      </c>
      <c r="G262" s="96">
        <f>SUM(G263:G268)</f>
        <v>0</v>
      </c>
      <c r="H262" s="96">
        <f>ROUND(SUM(H263:H268),2)</f>
        <v>0</v>
      </c>
      <c r="I262" s="15">
        <f t="shared" si="0"/>
        <v>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45" t="s">
        <v>1040</v>
      </c>
      <c r="B263" s="46" t="s">
        <v>1041</v>
      </c>
      <c r="C263" s="88">
        <v>0</v>
      </c>
      <c r="D263" s="88">
        <v>0</v>
      </c>
      <c r="E263" s="88"/>
      <c r="F263" s="98">
        <v>0</v>
      </c>
      <c r="G263" s="98"/>
      <c r="H263" s="98"/>
      <c r="I263" s="47">
        <f t="shared" ref="I263:I517" si="1">F263-D263</f>
        <v>0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52" t="s">
        <v>1042</v>
      </c>
      <c r="B264" s="53" t="s">
        <v>1043</v>
      </c>
      <c r="C264" s="88">
        <v>0</v>
      </c>
      <c r="D264" s="88">
        <v>0</v>
      </c>
      <c r="E264" s="88"/>
      <c r="F264" s="98">
        <v>0</v>
      </c>
      <c r="G264" s="98"/>
      <c r="H264" s="98"/>
      <c r="I264" s="54">
        <f t="shared" si="1"/>
        <v>0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45" t="s">
        <v>1044</v>
      </c>
      <c r="B265" s="46" t="s">
        <v>1045</v>
      </c>
      <c r="C265" s="88">
        <v>0</v>
      </c>
      <c r="D265" s="88">
        <v>0</v>
      </c>
      <c r="E265" s="88"/>
      <c r="F265" s="98">
        <v>0</v>
      </c>
      <c r="G265" s="98"/>
      <c r="H265" s="98"/>
      <c r="I265" s="47">
        <f t="shared" si="1"/>
        <v>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25" t="s">
        <v>1046</v>
      </c>
      <c r="B266" s="26" t="s">
        <v>1047</v>
      </c>
      <c r="C266" s="88">
        <v>0</v>
      </c>
      <c r="D266" s="88">
        <v>0</v>
      </c>
      <c r="E266" s="88"/>
      <c r="F266" s="98">
        <v>0</v>
      </c>
      <c r="G266" s="98"/>
      <c r="H266" s="98"/>
      <c r="I266" s="27">
        <f t="shared" si="1"/>
        <v>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25" t="s">
        <v>1048</v>
      </c>
      <c r="B267" s="26" t="s">
        <v>1049</v>
      </c>
      <c r="C267" s="88">
        <v>0</v>
      </c>
      <c r="D267" s="88">
        <v>0</v>
      </c>
      <c r="E267" s="88"/>
      <c r="F267" s="98">
        <v>0</v>
      </c>
      <c r="G267" s="98"/>
      <c r="H267" s="98"/>
      <c r="I267" s="27">
        <f t="shared" si="1"/>
        <v>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25" t="s">
        <v>1050</v>
      </c>
      <c r="B268" s="26" t="s">
        <v>1051</v>
      </c>
      <c r="C268" s="88">
        <v>0</v>
      </c>
      <c r="D268" s="88">
        <v>0</v>
      </c>
      <c r="E268" s="88"/>
      <c r="F268" s="98">
        <v>0</v>
      </c>
      <c r="G268" s="98"/>
      <c r="H268" s="98"/>
      <c r="I268" s="27">
        <f t="shared" si="1"/>
        <v>0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3" t="s">
        <v>1052</v>
      </c>
      <c r="B269" s="14" t="s">
        <v>1053</v>
      </c>
      <c r="C269" s="86">
        <v>0</v>
      </c>
      <c r="D269" s="86">
        <v>0</v>
      </c>
      <c r="E269" s="86">
        <v>0</v>
      </c>
      <c r="F269" s="96">
        <v>0</v>
      </c>
      <c r="G269" s="96">
        <f>SUM(G270:G274)</f>
        <v>0</v>
      </c>
      <c r="H269" s="96">
        <f>ROUND(SUM(H270:H274),2)</f>
        <v>0</v>
      </c>
      <c r="I269" s="15">
        <f t="shared" si="1"/>
        <v>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45" t="s">
        <v>1054</v>
      </c>
      <c r="B270" s="46" t="s">
        <v>1055</v>
      </c>
      <c r="C270" s="88">
        <v>0</v>
      </c>
      <c r="D270" s="88">
        <v>0</v>
      </c>
      <c r="E270" s="88"/>
      <c r="F270" s="98">
        <v>0</v>
      </c>
      <c r="G270" s="98"/>
      <c r="H270" s="98"/>
      <c r="I270" s="47">
        <f t="shared" si="1"/>
        <v>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52" t="s">
        <v>1056</v>
      </c>
      <c r="B271" s="53" t="s">
        <v>1057</v>
      </c>
      <c r="C271" s="88">
        <v>0</v>
      </c>
      <c r="D271" s="88">
        <v>0</v>
      </c>
      <c r="E271" s="88"/>
      <c r="F271" s="98">
        <v>0</v>
      </c>
      <c r="G271" s="98"/>
      <c r="H271" s="98"/>
      <c r="I271" s="54">
        <f t="shared" si="1"/>
        <v>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45" t="s">
        <v>1058</v>
      </c>
      <c r="B272" s="46" t="s">
        <v>1059</v>
      </c>
      <c r="C272" s="88">
        <v>0</v>
      </c>
      <c r="D272" s="88">
        <v>0</v>
      </c>
      <c r="E272" s="88"/>
      <c r="F272" s="98">
        <v>0</v>
      </c>
      <c r="G272" s="98"/>
      <c r="H272" s="98"/>
      <c r="I272" s="47">
        <f t="shared" si="1"/>
        <v>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25" t="s">
        <v>1060</v>
      </c>
      <c r="B273" s="26" t="s">
        <v>1061</v>
      </c>
      <c r="C273" s="88">
        <v>0</v>
      </c>
      <c r="D273" s="88">
        <v>0</v>
      </c>
      <c r="E273" s="88"/>
      <c r="F273" s="98">
        <v>0</v>
      </c>
      <c r="G273" s="98"/>
      <c r="H273" s="98"/>
      <c r="I273" s="27">
        <f t="shared" si="1"/>
        <v>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25" t="s">
        <v>1062</v>
      </c>
      <c r="B274" s="26" t="s">
        <v>1063</v>
      </c>
      <c r="C274" s="88">
        <v>0</v>
      </c>
      <c r="D274" s="88">
        <v>0</v>
      </c>
      <c r="E274" s="88"/>
      <c r="F274" s="98">
        <v>0</v>
      </c>
      <c r="G274" s="98"/>
      <c r="H274" s="98"/>
      <c r="I274" s="27">
        <f t="shared" si="1"/>
        <v>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3" t="s">
        <v>1064</v>
      </c>
      <c r="B275" s="14" t="s">
        <v>1065</v>
      </c>
      <c r="C275" s="86">
        <v>4632000</v>
      </c>
      <c r="D275" s="86">
        <v>4491594.45</v>
      </c>
      <c r="E275" s="86">
        <v>33752.5</v>
      </c>
      <c r="F275" s="96">
        <v>4332000</v>
      </c>
      <c r="G275" s="96">
        <f>SUM(G276:G279)</f>
        <v>29556.822857142855</v>
      </c>
      <c r="H275" s="96">
        <f>ROUND(SUM(H276:H279),2)</f>
        <v>7825</v>
      </c>
      <c r="I275" s="15">
        <f t="shared" si="1"/>
        <v>-159594.45000000019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45" t="s">
        <v>1066</v>
      </c>
      <c r="B276" s="46" t="s">
        <v>1067</v>
      </c>
      <c r="C276" s="88">
        <v>0</v>
      </c>
      <c r="D276" s="88">
        <v>0</v>
      </c>
      <c r="E276" s="88"/>
      <c r="F276" s="98">
        <v>0</v>
      </c>
      <c r="G276" s="98"/>
      <c r="H276" s="98"/>
      <c r="I276" s="47">
        <f t="shared" si="1"/>
        <v>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25" t="s">
        <v>1068</v>
      </c>
      <c r="B277" s="26" t="s">
        <v>1069</v>
      </c>
      <c r="C277" s="88">
        <v>2986000</v>
      </c>
      <c r="D277" s="88">
        <v>2874071.56</v>
      </c>
      <c r="E277" s="88"/>
      <c r="F277" s="98">
        <v>2986000</v>
      </c>
      <c r="G277" s="98"/>
      <c r="H277" s="98"/>
      <c r="I277" s="27">
        <f t="shared" si="1"/>
        <v>111928.43999999994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45" t="s">
        <v>1070</v>
      </c>
      <c r="B278" s="46" t="s">
        <v>1071</v>
      </c>
      <c r="C278" s="88">
        <v>0</v>
      </c>
      <c r="D278" s="88">
        <v>0</v>
      </c>
      <c r="E278" s="88"/>
      <c r="F278" s="98">
        <v>0</v>
      </c>
      <c r="G278" s="98"/>
      <c r="H278" s="98"/>
      <c r="I278" s="47">
        <f t="shared" si="1"/>
        <v>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25" t="s">
        <v>1072</v>
      </c>
      <c r="B279" s="26" t="s">
        <v>1073</v>
      </c>
      <c r="C279" s="88">
        <v>1646000</v>
      </c>
      <c r="D279" s="88">
        <v>1617522.89</v>
      </c>
      <c r="E279" s="88">
        <v>33752.5</v>
      </c>
      <c r="F279" s="98">
        <v>1346000</v>
      </c>
      <c r="G279" s="98">
        <v>29556.822857142855</v>
      </c>
      <c r="H279" s="98">
        <v>7825</v>
      </c>
      <c r="I279" s="27">
        <f t="shared" si="1"/>
        <v>-271522.8899999999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3" t="s">
        <v>1074</v>
      </c>
      <c r="B280" s="14" t="s">
        <v>1075</v>
      </c>
      <c r="C280" s="86">
        <v>0</v>
      </c>
      <c r="D280" s="86">
        <v>0</v>
      </c>
      <c r="E280" s="86">
        <v>0</v>
      </c>
      <c r="F280" s="96">
        <v>0</v>
      </c>
      <c r="G280" s="96">
        <f>+G281+G284+G290+G291+G292+G298</f>
        <v>0</v>
      </c>
      <c r="H280" s="96">
        <f>ROUND(+H281+H284+H291+H292+H298+H290,2)</f>
        <v>0</v>
      </c>
      <c r="I280" s="15">
        <f t="shared" si="1"/>
        <v>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28" t="s">
        <v>1076</v>
      </c>
      <c r="B281" s="29" t="s">
        <v>1077</v>
      </c>
      <c r="C281" s="86">
        <v>0</v>
      </c>
      <c r="D281" s="86">
        <v>0</v>
      </c>
      <c r="E281" s="86">
        <v>0</v>
      </c>
      <c r="F281" s="96">
        <v>0</v>
      </c>
      <c r="G281" s="96">
        <f>+G282+G283</f>
        <v>0</v>
      </c>
      <c r="H281" s="96">
        <f>ROUND(+H282+H283,2)</f>
        <v>0</v>
      </c>
      <c r="I281" s="30">
        <f t="shared" si="1"/>
        <v>0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34" t="s">
        <v>1078</v>
      </c>
      <c r="B282" s="35" t="s">
        <v>1079</v>
      </c>
      <c r="C282" s="87">
        <v>0</v>
      </c>
      <c r="D282" s="87">
        <v>0</v>
      </c>
      <c r="E282" s="87"/>
      <c r="F282" s="97">
        <v>0</v>
      </c>
      <c r="G282" s="97"/>
      <c r="H282" s="97"/>
      <c r="I282" s="36">
        <f t="shared" si="1"/>
        <v>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22" t="s">
        <v>1080</v>
      </c>
      <c r="B283" s="23" t="s">
        <v>1081</v>
      </c>
      <c r="C283" s="87">
        <v>0</v>
      </c>
      <c r="D283" s="87">
        <v>0</v>
      </c>
      <c r="E283" s="87"/>
      <c r="F283" s="97">
        <v>0</v>
      </c>
      <c r="G283" s="97"/>
      <c r="H283" s="97"/>
      <c r="I283" s="24">
        <f t="shared" si="1"/>
        <v>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28" t="s">
        <v>1082</v>
      </c>
      <c r="B284" s="29" t="s">
        <v>1083</v>
      </c>
      <c r="C284" s="86">
        <v>0</v>
      </c>
      <c r="D284" s="86">
        <v>0</v>
      </c>
      <c r="E284" s="86">
        <v>0</v>
      </c>
      <c r="F284" s="96">
        <v>0</v>
      </c>
      <c r="G284" s="96">
        <f>+G285+G286+G287+G288+G289</f>
        <v>0</v>
      </c>
      <c r="H284" s="96">
        <f>ROUND(SUM(H285:H289),2)</f>
        <v>0</v>
      </c>
      <c r="I284" s="30">
        <f t="shared" si="1"/>
        <v>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25" t="s">
        <v>1084</v>
      </c>
      <c r="B285" s="26" t="s">
        <v>1085</v>
      </c>
      <c r="C285" s="88">
        <v>0</v>
      </c>
      <c r="D285" s="88">
        <v>0</v>
      </c>
      <c r="E285" s="88"/>
      <c r="F285" s="98">
        <v>0</v>
      </c>
      <c r="G285" s="98"/>
      <c r="H285" s="98"/>
      <c r="I285" s="27">
        <f t="shared" si="1"/>
        <v>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25" t="s">
        <v>1086</v>
      </c>
      <c r="B286" s="26" t="s">
        <v>1087</v>
      </c>
      <c r="C286" s="88">
        <v>0</v>
      </c>
      <c r="D286" s="88">
        <v>0</v>
      </c>
      <c r="E286" s="88"/>
      <c r="F286" s="98">
        <v>0</v>
      </c>
      <c r="G286" s="98"/>
      <c r="H286" s="98"/>
      <c r="I286" s="27">
        <f t="shared" si="1"/>
        <v>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25" t="s">
        <v>1088</v>
      </c>
      <c r="B287" s="26" t="s">
        <v>1089</v>
      </c>
      <c r="C287" s="88">
        <v>0</v>
      </c>
      <c r="D287" s="88">
        <v>0</v>
      </c>
      <c r="E287" s="88"/>
      <c r="F287" s="98">
        <v>0</v>
      </c>
      <c r="G287" s="98"/>
      <c r="H287" s="98"/>
      <c r="I287" s="27">
        <f t="shared" si="1"/>
        <v>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25" t="s">
        <v>1090</v>
      </c>
      <c r="B288" s="26" t="s">
        <v>1091</v>
      </c>
      <c r="C288" s="88">
        <v>0</v>
      </c>
      <c r="D288" s="88">
        <v>0</v>
      </c>
      <c r="E288" s="88"/>
      <c r="F288" s="98">
        <v>0</v>
      </c>
      <c r="G288" s="98"/>
      <c r="H288" s="98"/>
      <c r="I288" s="27">
        <f t="shared" si="1"/>
        <v>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25" t="s">
        <v>1092</v>
      </c>
      <c r="B289" s="26" t="s">
        <v>1093</v>
      </c>
      <c r="C289" s="88">
        <v>0</v>
      </c>
      <c r="D289" s="88">
        <v>0</v>
      </c>
      <c r="E289" s="88"/>
      <c r="F289" s="98">
        <v>0</v>
      </c>
      <c r="G289" s="98"/>
      <c r="H289" s="98"/>
      <c r="I289" s="27">
        <f t="shared" si="1"/>
        <v>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25" t="s">
        <v>1094</v>
      </c>
      <c r="B290" s="26" t="s">
        <v>1095</v>
      </c>
      <c r="C290" s="88">
        <v>0</v>
      </c>
      <c r="D290" s="88">
        <v>0</v>
      </c>
      <c r="E290" s="88"/>
      <c r="F290" s="98">
        <v>0</v>
      </c>
      <c r="G290" s="98"/>
      <c r="H290" s="98"/>
      <c r="I290" s="27">
        <f t="shared" si="1"/>
        <v>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25" t="s">
        <v>1096</v>
      </c>
      <c r="B291" s="26" t="s">
        <v>1097</v>
      </c>
      <c r="C291" s="88">
        <v>0</v>
      </c>
      <c r="D291" s="88">
        <v>0</v>
      </c>
      <c r="E291" s="88"/>
      <c r="F291" s="98">
        <v>0</v>
      </c>
      <c r="G291" s="98"/>
      <c r="H291" s="98"/>
      <c r="I291" s="27">
        <f t="shared" si="1"/>
        <v>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28" t="s">
        <v>1098</v>
      </c>
      <c r="B292" s="29" t="s">
        <v>1099</v>
      </c>
      <c r="C292" s="86">
        <v>0</v>
      </c>
      <c r="D292" s="86">
        <v>0</v>
      </c>
      <c r="E292" s="86">
        <v>0</v>
      </c>
      <c r="F292" s="96">
        <v>0</v>
      </c>
      <c r="G292" s="96">
        <f>+G293+G294+G295+G296+G297</f>
        <v>0</v>
      </c>
      <c r="H292" s="96">
        <f>ROUND(SUM(H293:H297),2)</f>
        <v>0</v>
      </c>
      <c r="I292" s="30">
        <f t="shared" si="1"/>
        <v>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25" t="s">
        <v>1100</v>
      </c>
      <c r="B293" s="26" t="s">
        <v>1101</v>
      </c>
      <c r="C293" s="88">
        <v>0</v>
      </c>
      <c r="D293" s="88">
        <v>0</v>
      </c>
      <c r="E293" s="88"/>
      <c r="F293" s="98">
        <v>0</v>
      </c>
      <c r="G293" s="98"/>
      <c r="H293" s="98"/>
      <c r="I293" s="27">
        <f t="shared" si="1"/>
        <v>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25" t="s">
        <v>1102</v>
      </c>
      <c r="B294" s="26" t="s">
        <v>1103</v>
      </c>
      <c r="C294" s="88">
        <v>0</v>
      </c>
      <c r="D294" s="88">
        <v>0</v>
      </c>
      <c r="E294" s="88"/>
      <c r="F294" s="98">
        <v>0</v>
      </c>
      <c r="G294" s="98"/>
      <c r="H294" s="98"/>
      <c r="I294" s="27">
        <f t="shared" si="1"/>
        <v>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25" t="s">
        <v>1104</v>
      </c>
      <c r="B295" s="26" t="s">
        <v>1105</v>
      </c>
      <c r="C295" s="88">
        <v>0</v>
      </c>
      <c r="D295" s="88">
        <v>0</v>
      </c>
      <c r="E295" s="88"/>
      <c r="F295" s="98">
        <v>0</v>
      </c>
      <c r="G295" s="98"/>
      <c r="H295" s="98"/>
      <c r="I295" s="27">
        <f t="shared" si="1"/>
        <v>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25" t="s">
        <v>1106</v>
      </c>
      <c r="B296" s="26" t="s">
        <v>1107</v>
      </c>
      <c r="C296" s="88">
        <v>0</v>
      </c>
      <c r="D296" s="88">
        <v>0</v>
      </c>
      <c r="E296" s="88"/>
      <c r="F296" s="98">
        <v>0</v>
      </c>
      <c r="G296" s="98"/>
      <c r="H296" s="98"/>
      <c r="I296" s="27">
        <f t="shared" si="1"/>
        <v>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25" t="s">
        <v>1108</v>
      </c>
      <c r="B297" s="26" t="s">
        <v>1109</v>
      </c>
      <c r="C297" s="88">
        <v>0</v>
      </c>
      <c r="D297" s="88">
        <v>0</v>
      </c>
      <c r="E297" s="88"/>
      <c r="F297" s="98">
        <v>0</v>
      </c>
      <c r="G297" s="98"/>
      <c r="H297" s="98"/>
      <c r="I297" s="27">
        <f t="shared" si="1"/>
        <v>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25" t="s">
        <v>1110</v>
      </c>
      <c r="B298" s="26" t="s">
        <v>1111</v>
      </c>
      <c r="C298" s="88">
        <v>0</v>
      </c>
      <c r="D298" s="88">
        <v>0</v>
      </c>
      <c r="E298" s="88"/>
      <c r="F298" s="98">
        <v>0</v>
      </c>
      <c r="G298" s="98"/>
      <c r="H298" s="98"/>
      <c r="I298" s="27">
        <f t="shared" si="1"/>
        <v>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3" t="s">
        <v>1112</v>
      </c>
      <c r="B299" s="14" t="s">
        <v>1113</v>
      </c>
      <c r="C299" s="86">
        <v>8760000</v>
      </c>
      <c r="D299" s="86">
        <v>11337992.33</v>
      </c>
      <c r="E299" s="86">
        <v>0</v>
      </c>
      <c r="F299" s="96">
        <v>11340000</v>
      </c>
      <c r="G299" s="96">
        <f>+SUM(G300:G306)</f>
        <v>0</v>
      </c>
      <c r="H299" s="96">
        <f>ROUND(SUM(H300:H306),2)</f>
        <v>0</v>
      </c>
      <c r="I299" s="15">
        <f t="shared" si="1"/>
        <v>2007.6699999999255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25" t="s">
        <v>1114</v>
      </c>
      <c r="B300" s="26" t="s">
        <v>1115</v>
      </c>
      <c r="C300" s="88">
        <v>2050000</v>
      </c>
      <c r="D300" s="88">
        <v>2598279.06</v>
      </c>
      <c r="E300" s="88"/>
      <c r="F300" s="98">
        <v>2600000</v>
      </c>
      <c r="G300" s="98"/>
      <c r="H300" s="98"/>
      <c r="I300" s="27">
        <f t="shared" si="1"/>
        <v>1720.9399999999441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25" t="s">
        <v>1116</v>
      </c>
      <c r="B301" s="26" t="s">
        <v>1117</v>
      </c>
      <c r="C301" s="88">
        <v>5750000</v>
      </c>
      <c r="D301" s="88">
        <v>7349513.3899999997</v>
      </c>
      <c r="E301" s="88"/>
      <c r="F301" s="98">
        <v>7350000</v>
      </c>
      <c r="G301" s="98"/>
      <c r="H301" s="98"/>
      <c r="I301" s="27">
        <f t="shared" si="1"/>
        <v>486.61000000033528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25" t="s">
        <v>1118</v>
      </c>
      <c r="B302" s="26" t="s">
        <v>1119</v>
      </c>
      <c r="C302" s="88">
        <v>0</v>
      </c>
      <c r="D302" s="88">
        <v>0</v>
      </c>
      <c r="E302" s="88"/>
      <c r="F302" s="98">
        <v>0</v>
      </c>
      <c r="G302" s="98"/>
      <c r="H302" s="98"/>
      <c r="I302" s="27">
        <f t="shared" si="1"/>
        <v>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25" t="s">
        <v>1120</v>
      </c>
      <c r="B303" s="26" t="s">
        <v>1121</v>
      </c>
      <c r="C303" s="88">
        <v>700000</v>
      </c>
      <c r="D303" s="88">
        <v>1049224.82</v>
      </c>
      <c r="E303" s="88"/>
      <c r="F303" s="98">
        <v>1050000</v>
      </c>
      <c r="G303" s="98"/>
      <c r="H303" s="98"/>
      <c r="I303" s="27">
        <f t="shared" si="1"/>
        <v>775.17999999993481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48" t="s">
        <v>1122</v>
      </c>
      <c r="B304" s="49" t="s">
        <v>1123</v>
      </c>
      <c r="C304" s="87">
        <v>0</v>
      </c>
      <c r="D304" s="87">
        <v>0</v>
      </c>
      <c r="E304" s="87"/>
      <c r="F304" s="97">
        <v>0</v>
      </c>
      <c r="G304" s="97"/>
      <c r="H304" s="97">
        <v>0</v>
      </c>
      <c r="I304" s="36">
        <f t="shared" si="1"/>
        <v>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25" t="s">
        <v>1124</v>
      </c>
      <c r="B305" s="26" t="s">
        <v>1125</v>
      </c>
      <c r="C305" s="88">
        <v>260000</v>
      </c>
      <c r="D305" s="88">
        <v>340975.06</v>
      </c>
      <c r="E305" s="88"/>
      <c r="F305" s="98">
        <v>340000</v>
      </c>
      <c r="G305" s="98"/>
      <c r="H305" s="98"/>
      <c r="I305" s="27">
        <f t="shared" si="1"/>
        <v>-975.05999999999767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48" t="s">
        <v>1126</v>
      </c>
      <c r="B306" s="49" t="s">
        <v>1127</v>
      </c>
      <c r="C306" s="87">
        <v>0</v>
      </c>
      <c r="D306" s="87">
        <v>0</v>
      </c>
      <c r="E306" s="87"/>
      <c r="F306" s="97">
        <v>0</v>
      </c>
      <c r="G306" s="97"/>
      <c r="H306" s="97"/>
      <c r="I306" s="36">
        <f t="shared" si="1"/>
        <v>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3" t="s">
        <v>1128</v>
      </c>
      <c r="B307" s="14" t="s">
        <v>1129</v>
      </c>
      <c r="C307" s="86">
        <v>1675500</v>
      </c>
      <c r="D307" s="86">
        <v>1927458.5</v>
      </c>
      <c r="E307" s="86">
        <v>0</v>
      </c>
      <c r="F307" s="96">
        <v>2864523.82</v>
      </c>
      <c r="G307" s="96">
        <f>SUM(G308:G314)</f>
        <v>0</v>
      </c>
      <c r="H307" s="96">
        <f>ROUND(SUM(H308:H314),2)</f>
        <v>0</v>
      </c>
      <c r="I307" s="15">
        <f t="shared" si="1"/>
        <v>937065.31999999983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25" t="s">
        <v>1130</v>
      </c>
      <c r="B308" s="26" t="s">
        <v>1131</v>
      </c>
      <c r="C308" s="88">
        <v>1300000</v>
      </c>
      <c r="D308" s="88">
        <v>1306787.75</v>
      </c>
      <c r="E308" s="88"/>
      <c r="F308" s="98">
        <v>1300000</v>
      </c>
      <c r="G308" s="98"/>
      <c r="H308" s="98"/>
      <c r="I308" s="27">
        <f t="shared" si="1"/>
        <v>-6787.75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25" t="s">
        <v>1132</v>
      </c>
      <c r="B309" s="26" t="s">
        <v>1133</v>
      </c>
      <c r="C309" s="88">
        <v>0</v>
      </c>
      <c r="D309" s="88">
        <v>0</v>
      </c>
      <c r="E309" s="88"/>
      <c r="F309" s="98">
        <v>0</v>
      </c>
      <c r="G309" s="98"/>
      <c r="H309" s="98"/>
      <c r="I309" s="27">
        <f t="shared" si="1"/>
        <v>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25" t="s">
        <v>1134</v>
      </c>
      <c r="B310" s="26" t="s">
        <v>1135</v>
      </c>
      <c r="C310" s="88">
        <v>35000</v>
      </c>
      <c r="D310" s="88">
        <v>50327.040000000001</v>
      </c>
      <c r="E310" s="88"/>
      <c r="F310" s="98">
        <v>50000</v>
      </c>
      <c r="G310" s="98"/>
      <c r="H310" s="98"/>
      <c r="I310" s="27">
        <f t="shared" si="1"/>
        <v>-327.04000000000087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25" t="s">
        <v>1136</v>
      </c>
      <c r="B311" s="26" t="s">
        <v>1137</v>
      </c>
      <c r="C311" s="88">
        <v>0</v>
      </c>
      <c r="D311" s="88">
        <v>0</v>
      </c>
      <c r="E311" s="88"/>
      <c r="F311" s="98">
        <v>0</v>
      </c>
      <c r="G311" s="98"/>
      <c r="H311" s="98"/>
      <c r="I311" s="27">
        <f t="shared" si="1"/>
        <v>0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25" t="s">
        <v>1138</v>
      </c>
      <c r="B312" s="26" t="s">
        <v>1139</v>
      </c>
      <c r="C312" s="88">
        <v>332500</v>
      </c>
      <c r="D312" s="88">
        <v>481567.83</v>
      </c>
      <c r="E312" s="88"/>
      <c r="F312" s="98">
        <v>480000</v>
      </c>
      <c r="G312" s="98"/>
      <c r="H312" s="98"/>
      <c r="I312" s="27">
        <f t="shared" si="1"/>
        <v>-1567.8300000000163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48" t="s">
        <v>1140</v>
      </c>
      <c r="B313" s="49" t="s">
        <v>1141</v>
      </c>
      <c r="C313" s="87">
        <v>0</v>
      </c>
      <c r="D313" s="87">
        <v>68978.990000000005</v>
      </c>
      <c r="E313" s="87"/>
      <c r="F313" s="97">
        <v>0</v>
      </c>
      <c r="G313" s="97"/>
      <c r="H313" s="97"/>
      <c r="I313" s="36">
        <f t="shared" si="1"/>
        <v>-68978.990000000005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48" t="s">
        <v>1142</v>
      </c>
      <c r="B314" s="49" t="s">
        <v>1143</v>
      </c>
      <c r="C314" s="87">
        <v>8000</v>
      </c>
      <c r="D314" s="87">
        <v>19796.89</v>
      </c>
      <c r="E314" s="87"/>
      <c r="F314" s="97">
        <v>1034523.82</v>
      </c>
      <c r="G314" s="97"/>
      <c r="H314" s="97"/>
      <c r="I314" s="36">
        <f t="shared" si="1"/>
        <v>1014726.9299999999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3" t="s">
        <v>1144</v>
      </c>
      <c r="B315" s="14" t="s">
        <v>1145</v>
      </c>
      <c r="C315" s="86">
        <v>18444257.800000001</v>
      </c>
      <c r="D315" s="86">
        <v>19681261.66</v>
      </c>
      <c r="E315" s="86">
        <v>1579171.67</v>
      </c>
      <c r="F315" s="96">
        <v>17923126.41</v>
      </c>
      <c r="G315" s="96">
        <f>+G316+G317+G318+G325</f>
        <v>4021311.0300000003</v>
      </c>
      <c r="H315" s="96">
        <f>ROUND(SUM(H316:H318,H325),2)</f>
        <v>809289.21</v>
      </c>
      <c r="I315" s="15">
        <f t="shared" si="1"/>
        <v>-1758135.25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48" t="s">
        <v>1146</v>
      </c>
      <c r="B316" s="49" t="s">
        <v>1147</v>
      </c>
      <c r="C316" s="87">
        <v>0</v>
      </c>
      <c r="D316" s="87">
        <v>0</v>
      </c>
      <c r="E316" s="87"/>
      <c r="F316" s="97">
        <v>0</v>
      </c>
      <c r="G316" s="97"/>
      <c r="H316" s="97"/>
      <c r="I316" s="36">
        <f t="shared" si="1"/>
        <v>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25" t="s">
        <v>1148</v>
      </c>
      <c r="B317" s="26" t="s">
        <v>1149</v>
      </c>
      <c r="C317" s="88">
        <v>0</v>
      </c>
      <c r="D317" s="88">
        <v>9824</v>
      </c>
      <c r="E317" s="88"/>
      <c r="F317" s="98">
        <v>4012</v>
      </c>
      <c r="G317" s="98"/>
      <c r="H317" s="98"/>
      <c r="I317" s="27">
        <f t="shared" si="1"/>
        <v>-5812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28" t="s">
        <v>1150</v>
      </c>
      <c r="B318" s="29" t="s">
        <v>1151</v>
      </c>
      <c r="C318" s="86">
        <v>18444257.800000001</v>
      </c>
      <c r="D318" s="86">
        <v>19670219.710000001</v>
      </c>
      <c r="E318" s="86">
        <v>1579171.67</v>
      </c>
      <c r="F318" s="96">
        <v>17919114.41</v>
      </c>
      <c r="G318" s="96">
        <f>+G319+G320+G321+G322+G323+G324</f>
        <v>4021311.0300000003</v>
      </c>
      <c r="H318" s="96">
        <f>ROUND(SUM(H319:H324),2)</f>
        <v>809289.21</v>
      </c>
      <c r="I318" s="30">
        <f t="shared" si="1"/>
        <v>-1751105.3000000007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37" t="s">
        <v>1152</v>
      </c>
      <c r="B319" s="38" t="s">
        <v>1153</v>
      </c>
      <c r="C319" s="87">
        <v>1719518.07</v>
      </c>
      <c r="D319" s="87">
        <v>2039781.35</v>
      </c>
      <c r="E319" s="87">
        <v>0</v>
      </c>
      <c r="F319" s="97">
        <v>2050156</v>
      </c>
      <c r="G319" s="97">
        <v>2050156</v>
      </c>
      <c r="H319" s="97"/>
      <c r="I319" s="39">
        <f t="shared" si="1"/>
        <v>10374.649999999907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37" t="s">
        <v>1154</v>
      </c>
      <c r="B320" s="38" t="s">
        <v>1155</v>
      </c>
      <c r="C320" s="87">
        <v>230000</v>
      </c>
      <c r="D320" s="87">
        <v>1283391.81</v>
      </c>
      <c r="E320" s="87">
        <v>272553.95</v>
      </c>
      <c r="F320" s="97">
        <v>918958.41</v>
      </c>
      <c r="G320" s="97">
        <v>918958.41</v>
      </c>
      <c r="H320" s="97"/>
      <c r="I320" s="39">
        <f t="shared" si="1"/>
        <v>-364433.4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37" t="s">
        <v>1156</v>
      </c>
      <c r="B321" s="38" t="s">
        <v>1157</v>
      </c>
      <c r="C321" s="87">
        <v>1500000</v>
      </c>
      <c r="D321" s="87">
        <v>1467302.56</v>
      </c>
      <c r="E321" s="87">
        <v>873679.83</v>
      </c>
      <c r="F321" s="97">
        <v>650000</v>
      </c>
      <c r="G321" s="97">
        <v>400000</v>
      </c>
      <c r="H321" s="97">
        <v>376043.68</v>
      </c>
      <c r="I321" s="39">
        <f t="shared" si="1"/>
        <v>-817302.56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37" t="s">
        <v>1158</v>
      </c>
      <c r="B322" s="38" t="s">
        <v>1159</v>
      </c>
      <c r="C322" s="87">
        <v>10000000</v>
      </c>
      <c r="D322" s="87">
        <v>11072554.25</v>
      </c>
      <c r="E322" s="87">
        <v>149397.89000000001</v>
      </c>
      <c r="F322" s="97">
        <v>11000000</v>
      </c>
      <c r="G322" s="97"/>
      <c r="H322" s="97"/>
      <c r="I322" s="39">
        <f t="shared" si="1"/>
        <v>-72554.25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37" t="s">
        <v>1160</v>
      </c>
      <c r="B323" s="38" t="s">
        <v>1161</v>
      </c>
      <c r="C323" s="87">
        <v>0</v>
      </c>
      <c r="D323" s="87">
        <v>0</v>
      </c>
      <c r="E323" s="87"/>
      <c r="F323" s="97">
        <v>0</v>
      </c>
      <c r="G323" s="97"/>
      <c r="H323" s="97"/>
      <c r="I323" s="39">
        <f t="shared" si="1"/>
        <v>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37" t="s">
        <v>1162</v>
      </c>
      <c r="B324" s="38" t="s">
        <v>1163</v>
      </c>
      <c r="C324" s="87">
        <v>4994739.7300000004</v>
      </c>
      <c r="D324" s="87">
        <v>3807189.74</v>
      </c>
      <c r="E324" s="87">
        <v>283540</v>
      </c>
      <c r="F324" s="97">
        <v>3300000</v>
      </c>
      <c r="G324" s="97">
        <v>652196.62</v>
      </c>
      <c r="H324" s="97">
        <v>433245.53</v>
      </c>
      <c r="I324" s="39">
        <f t="shared" si="1"/>
        <v>-507189.74000000022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28" t="s">
        <v>1164</v>
      </c>
      <c r="B325" s="29" t="s">
        <v>1165</v>
      </c>
      <c r="C325" s="88">
        <v>0</v>
      </c>
      <c r="D325" s="88">
        <v>1217.95</v>
      </c>
      <c r="E325" s="88">
        <v>0</v>
      </c>
      <c r="F325" s="98">
        <v>0</v>
      </c>
      <c r="G325" s="98"/>
      <c r="H325" s="98">
        <f>ROUND(SUM(H326:H328),2)</f>
        <v>0</v>
      </c>
      <c r="I325" s="27">
        <f t="shared" si="1"/>
        <v>-1217.95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34" t="s">
        <v>1166</v>
      </c>
      <c r="B326" s="35" t="s">
        <v>1167</v>
      </c>
      <c r="C326" s="87">
        <v>0</v>
      </c>
      <c r="D326" s="87">
        <v>1217.95</v>
      </c>
      <c r="E326" s="87"/>
      <c r="F326" s="97">
        <v>0</v>
      </c>
      <c r="G326" s="97"/>
      <c r="H326" s="97"/>
      <c r="I326" s="36">
        <f t="shared" si="1"/>
        <v>-1217.95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37" t="s">
        <v>1168</v>
      </c>
      <c r="B327" s="38" t="s">
        <v>1169</v>
      </c>
      <c r="C327" s="87">
        <v>0</v>
      </c>
      <c r="D327" s="87">
        <v>0</v>
      </c>
      <c r="E327" s="87"/>
      <c r="F327" s="97">
        <v>0</v>
      </c>
      <c r="G327" s="97"/>
      <c r="H327" s="97"/>
      <c r="I327" s="39">
        <f t="shared" si="1"/>
        <v>0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37" t="s">
        <v>1170</v>
      </c>
      <c r="B328" s="38" t="s">
        <v>1171</v>
      </c>
      <c r="C328" s="87">
        <v>0</v>
      </c>
      <c r="D328" s="87">
        <v>0</v>
      </c>
      <c r="E328" s="87"/>
      <c r="F328" s="97">
        <v>0</v>
      </c>
      <c r="G328" s="97"/>
      <c r="H328" s="97"/>
      <c r="I328" s="39">
        <f t="shared" si="1"/>
        <v>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3" t="s">
        <v>1172</v>
      </c>
      <c r="B329" s="14" t="s">
        <v>1173</v>
      </c>
      <c r="C329" s="86">
        <v>3018838.81</v>
      </c>
      <c r="D329" s="86">
        <v>2720149.9</v>
      </c>
      <c r="E329" s="86">
        <v>0</v>
      </c>
      <c r="F329" s="96">
        <v>2154939.34</v>
      </c>
      <c r="G329" s="96">
        <f>+G330+G331+G332+G333+G340+G341+G342</f>
        <v>0</v>
      </c>
      <c r="H329" s="96">
        <f>ROUND(SUM(H330:H333)+H340+H341+H342,2)</f>
        <v>0</v>
      </c>
      <c r="I329" s="15">
        <f t="shared" si="1"/>
        <v>-565210.56000000006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48" t="s">
        <v>1174</v>
      </c>
      <c r="B330" s="49" t="s">
        <v>1175</v>
      </c>
      <c r="C330" s="87">
        <v>460838.81</v>
      </c>
      <c r="D330" s="87">
        <v>698572.96</v>
      </c>
      <c r="E330" s="87"/>
      <c r="F330" s="97">
        <v>386939.34</v>
      </c>
      <c r="G330" s="97"/>
      <c r="H330" s="97"/>
      <c r="I330" s="36">
        <f t="shared" si="1"/>
        <v>-311633.61999999994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25" t="s">
        <v>1176</v>
      </c>
      <c r="B331" s="26" t="s">
        <v>1177</v>
      </c>
      <c r="C331" s="88">
        <v>58000</v>
      </c>
      <c r="D331" s="88">
        <v>152939.20000000001</v>
      </c>
      <c r="E331" s="88"/>
      <c r="F331" s="98">
        <v>58000</v>
      </c>
      <c r="G331" s="98"/>
      <c r="H331" s="98"/>
      <c r="I331" s="27">
        <f t="shared" si="1"/>
        <v>-94939.200000000012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25" t="s">
        <v>1178</v>
      </c>
      <c r="B332" s="26" t="s">
        <v>1179</v>
      </c>
      <c r="C332" s="88">
        <v>500000</v>
      </c>
      <c r="D332" s="88">
        <v>606785.03</v>
      </c>
      <c r="E332" s="88"/>
      <c r="F332" s="98">
        <v>450000</v>
      </c>
      <c r="G332" s="98"/>
      <c r="H332" s="98"/>
      <c r="I332" s="27">
        <f t="shared" si="1"/>
        <v>-156785.03000000003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28" t="s">
        <v>1180</v>
      </c>
      <c r="B333" s="29" t="s">
        <v>1181</v>
      </c>
      <c r="C333" s="86">
        <v>2000000</v>
      </c>
      <c r="D333" s="86">
        <v>1261852.71</v>
      </c>
      <c r="E333" s="86">
        <v>0</v>
      </c>
      <c r="F333" s="96">
        <v>1260000</v>
      </c>
      <c r="G333" s="96">
        <f>+G334+G335+G338+G339</f>
        <v>0</v>
      </c>
      <c r="H333" s="96">
        <f>ROUND(H334+H335+H338+H339,2)</f>
        <v>0</v>
      </c>
      <c r="I333" s="30">
        <f t="shared" si="1"/>
        <v>-1852.7099999999627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25" t="s">
        <v>1182</v>
      </c>
      <c r="B334" s="26" t="s">
        <v>1183</v>
      </c>
      <c r="C334" s="88">
        <v>0</v>
      </c>
      <c r="D334" s="88">
        <v>0</v>
      </c>
      <c r="E334" s="88"/>
      <c r="F334" s="98">
        <v>0</v>
      </c>
      <c r="G334" s="98"/>
      <c r="H334" s="98"/>
      <c r="I334" s="27">
        <f t="shared" si="1"/>
        <v>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28" t="s">
        <v>1184</v>
      </c>
      <c r="B335" s="29" t="s">
        <v>1185</v>
      </c>
      <c r="C335" s="86">
        <v>0</v>
      </c>
      <c r="D335" s="86">
        <v>0</v>
      </c>
      <c r="E335" s="86">
        <v>0</v>
      </c>
      <c r="F335" s="96">
        <v>0</v>
      </c>
      <c r="G335" s="96">
        <f>+G336+G337</f>
        <v>0</v>
      </c>
      <c r="H335" s="96">
        <f>ROUND(H336+H337,2)</f>
        <v>0</v>
      </c>
      <c r="I335" s="30">
        <f t="shared" si="1"/>
        <v>0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25" t="s">
        <v>1186</v>
      </c>
      <c r="B336" s="26" t="s">
        <v>1187</v>
      </c>
      <c r="C336" s="88">
        <v>0</v>
      </c>
      <c r="D336" s="88">
        <v>0</v>
      </c>
      <c r="E336" s="88"/>
      <c r="F336" s="98">
        <v>0</v>
      </c>
      <c r="G336" s="98"/>
      <c r="H336" s="98"/>
      <c r="I336" s="27">
        <f t="shared" si="1"/>
        <v>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25" t="s">
        <v>1188</v>
      </c>
      <c r="B337" s="26" t="s">
        <v>1189</v>
      </c>
      <c r="C337" s="88">
        <v>0</v>
      </c>
      <c r="D337" s="88">
        <v>0</v>
      </c>
      <c r="E337" s="88"/>
      <c r="F337" s="98">
        <v>0</v>
      </c>
      <c r="G337" s="98"/>
      <c r="H337" s="98"/>
      <c r="I337" s="27">
        <f t="shared" si="1"/>
        <v>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25" t="s">
        <v>1190</v>
      </c>
      <c r="B338" s="26" t="s">
        <v>1191</v>
      </c>
      <c r="C338" s="88">
        <v>0</v>
      </c>
      <c r="D338" s="88">
        <v>0</v>
      </c>
      <c r="E338" s="88"/>
      <c r="F338" s="98">
        <v>0</v>
      </c>
      <c r="G338" s="98"/>
      <c r="H338" s="98"/>
      <c r="I338" s="27">
        <f t="shared" si="1"/>
        <v>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25" t="s">
        <v>1192</v>
      </c>
      <c r="B339" s="26" t="s">
        <v>1193</v>
      </c>
      <c r="C339" s="88">
        <v>2000000</v>
      </c>
      <c r="D339" s="88">
        <v>1261852.71</v>
      </c>
      <c r="E339" s="88"/>
      <c r="F339" s="98">
        <v>1260000</v>
      </c>
      <c r="G339" s="98"/>
      <c r="H339" s="98"/>
      <c r="I339" s="27">
        <f t="shared" si="1"/>
        <v>-1852.7099999999627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25" t="s">
        <v>1194</v>
      </c>
      <c r="B340" s="26" t="s">
        <v>1195</v>
      </c>
      <c r="C340" s="88">
        <v>0</v>
      </c>
      <c r="D340" s="88">
        <v>0</v>
      </c>
      <c r="E340" s="88"/>
      <c r="F340" s="98">
        <v>0</v>
      </c>
      <c r="G340" s="98"/>
      <c r="H340" s="98"/>
      <c r="I340" s="27">
        <f t="shared" si="1"/>
        <v>0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45" t="s">
        <v>1196</v>
      </c>
      <c r="B341" s="46" t="s">
        <v>1197</v>
      </c>
      <c r="C341" s="88">
        <v>0</v>
      </c>
      <c r="D341" s="88">
        <v>0</v>
      </c>
      <c r="E341" s="88"/>
      <c r="F341" s="98">
        <v>0</v>
      </c>
      <c r="G341" s="98"/>
      <c r="H341" s="98"/>
      <c r="I341" s="47">
        <f t="shared" si="1"/>
        <v>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25" t="s">
        <v>1198</v>
      </c>
      <c r="B342" s="26" t="s">
        <v>1199</v>
      </c>
      <c r="C342" s="88">
        <v>0</v>
      </c>
      <c r="D342" s="88">
        <v>0</v>
      </c>
      <c r="E342" s="88"/>
      <c r="F342" s="98">
        <v>0</v>
      </c>
      <c r="G342" s="98"/>
      <c r="H342" s="98"/>
      <c r="I342" s="27">
        <f t="shared" si="1"/>
        <v>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25" t="s">
        <v>1200</v>
      </c>
      <c r="B343" s="26" t="s">
        <v>1201</v>
      </c>
      <c r="C343" s="88">
        <v>0</v>
      </c>
      <c r="D343" s="88">
        <v>0</v>
      </c>
      <c r="E343" s="88"/>
      <c r="F343" s="98">
        <v>0</v>
      </c>
      <c r="G343" s="98"/>
      <c r="H343" s="98"/>
      <c r="I343" s="27">
        <f t="shared" si="1"/>
        <v>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3" t="s">
        <v>1202</v>
      </c>
      <c r="B344" s="14" t="s">
        <v>1203</v>
      </c>
      <c r="C344" s="86">
        <v>70329034.579999998</v>
      </c>
      <c r="D344" s="86">
        <v>68832624.879999995</v>
      </c>
      <c r="E344" s="86">
        <v>2246495.46</v>
      </c>
      <c r="F344" s="96">
        <v>75719954.090000004</v>
      </c>
      <c r="G344" s="96">
        <f>+G345+G367+G381</f>
        <v>1622843.8214285716</v>
      </c>
      <c r="H344" s="96">
        <f>ROUND(H345+H367+H381,2)</f>
        <v>363119.35999999999</v>
      </c>
      <c r="I344" s="15">
        <f t="shared" si="1"/>
        <v>6887329.2100000083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3" t="s">
        <v>1204</v>
      </c>
      <c r="B345" s="14" t="s">
        <v>1205</v>
      </c>
      <c r="C345" s="86">
        <v>69694928.849999994</v>
      </c>
      <c r="D345" s="86">
        <v>68512215.230000004</v>
      </c>
      <c r="E345" s="86">
        <v>2246495.46</v>
      </c>
      <c r="F345" s="96">
        <v>75396454.090000004</v>
      </c>
      <c r="G345" s="96">
        <f>+G346+G347+G348+G351+G352+G353+G354+G355+G356+G357+G358+G361</f>
        <v>1622843.8214285716</v>
      </c>
      <c r="H345" s="96">
        <f>ROUND(SUM(H346:H348)+SUM(H351:H358)+H361,2)</f>
        <v>363119.35999999999</v>
      </c>
      <c r="I345" s="15">
        <f t="shared" si="1"/>
        <v>6884238.8599999994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25" t="s">
        <v>1206</v>
      </c>
      <c r="B346" s="26" t="s">
        <v>1207</v>
      </c>
      <c r="C346" s="88">
        <v>5000000</v>
      </c>
      <c r="D346" s="88">
        <v>4773098.17</v>
      </c>
      <c r="E346" s="88">
        <v>620064.79</v>
      </c>
      <c r="F346" s="98">
        <v>4775000</v>
      </c>
      <c r="G346" s="98"/>
      <c r="H346" s="98"/>
      <c r="I346" s="27">
        <f t="shared" si="1"/>
        <v>1901.8300000000745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25" t="s">
        <v>1208</v>
      </c>
      <c r="B347" s="26" t="s">
        <v>1209</v>
      </c>
      <c r="C347" s="88">
        <v>13530000</v>
      </c>
      <c r="D347" s="88">
        <v>13504793.84</v>
      </c>
      <c r="E347" s="88">
        <v>770598.99</v>
      </c>
      <c r="F347" s="98">
        <v>13530000</v>
      </c>
      <c r="G347" s="98">
        <v>560326</v>
      </c>
      <c r="H347" s="98">
        <v>156127.23000000001</v>
      </c>
      <c r="I347" s="27">
        <f t="shared" si="1"/>
        <v>25206.160000000149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28" t="s">
        <v>1210</v>
      </c>
      <c r="B348" s="29" t="s">
        <v>1211</v>
      </c>
      <c r="C348" s="86">
        <v>5355000</v>
      </c>
      <c r="D348" s="86">
        <v>5021378.46</v>
      </c>
      <c r="E348" s="86">
        <v>0</v>
      </c>
      <c r="F348" s="96">
        <v>5050000</v>
      </c>
      <c r="G348" s="96">
        <f>+G349+G350</f>
        <v>0</v>
      </c>
      <c r="H348" s="96">
        <f>ROUND(+H349+H350,2)</f>
        <v>0</v>
      </c>
      <c r="I348" s="30">
        <f t="shared" si="1"/>
        <v>28621.540000000037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25" t="s">
        <v>1212</v>
      </c>
      <c r="B349" s="26" t="s">
        <v>1213</v>
      </c>
      <c r="C349" s="88">
        <v>950000</v>
      </c>
      <c r="D349" s="88">
        <v>1051853.49</v>
      </c>
      <c r="E349" s="88"/>
      <c r="F349" s="98">
        <v>1050000</v>
      </c>
      <c r="G349" s="98"/>
      <c r="H349" s="98"/>
      <c r="I349" s="27">
        <f t="shared" si="1"/>
        <v>-1853.4899999999907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25" t="s">
        <v>1214</v>
      </c>
      <c r="B350" s="26" t="s">
        <v>1215</v>
      </c>
      <c r="C350" s="88">
        <v>4405000</v>
      </c>
      <c r="D350" s="88">
        <v>3969524.97</v>
      </c>
      <c r="E350" s="88"/>
      <c r="F350" s="98">
        <v>4000000</v>
      </c>
      <c r="G350" s="98"/>
      <c r="H350" s="98"/>
      <c r="I350" s="27">
        <f t="shared" si="1"/>
        <v>30475.029999999795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25" t="s">
        <v>1216</v>
      </c>
      <c r="B351" s="26" t="s">
        <v>1217</v>
      </c>
      <c r="C351" s="88">
        <v>13500000</v>
      </c>
      <c r="D351" s="88">
        <v>20009635.859999999</v>
      </c>
      <c r="E351" s="88"/>
      <c r="F351" s="98">
        <v>21000000</v>
      </c>
      <c r="G351" s="98"/>
      <c r="H351" s="98"/>
      <c r="I351" s="27">
        <f t="shared" si="1"/>
        <v>990364.1400000006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25" t="s">
        <v>1218</v>
      </c>
      <c r="B352" s="26" t="s">
        <v>1219</v>
      </c>
      <c r="C352" s="88">
        <v>190000</v>
      </c>
      <c r="D352" s="88">
        <v>202932.62</v>
      </c>
      <c r="E352" s="88"/>
      <c r="F352" s="98">
        <v>190000</v>
      </c>
      <c r="G352" s="98"/>
      <c r="H352" s="98"/>
      <c r="I352" s="27">
        <f t="shared" si="1"/>
        <v>-12932.619999999995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25" t="s">
        <v>1220</v>
      </c>
      <c r="B353" s="26" t="s">
        <v>1221</v>
      </c>
      <c r="C353" s="88">
        <v>481500</v>
      </c>
      <c r="D353" s="88">
        <v>433449.04</v>
      </c>
      <c r="E353" s="88">
        <v>4745.8</v>
      </c>
      <c r="F353" s="98">
        <v>435000</v>
      </c>
      <c r="G353" s="98"/>
      <c r="H353" s="98"/>
      <c r="I353" s="27">
        <f t="shared" si="1"/>
        <v>1550.960000000021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25" t="s">
        <v>1222</v>
      </c>
      <c r="B354" s="26" t="s">
        <v>1223</v>
      </c>
      <c r="C354" s="88">
        <v>2285000</v>
      </c>
      <c r="D354" s="88">
        <v>2303122.2799999998</v>
      </c>
      <c r="E354" s="88">
        <v>658184.63</v>
      </c>
      <c r="F354" s="98">
        <v>2285000</v>
      </c>
      <c r="G354" s="98">
        <v>627675.60000000009</v>
      </c>
      <c r="H354" s="98">
        <v>50266.19</v>
      </c>
      <c r="I354" s="27">
        <f t="shared" si="1"/>
        <v>-18122.279999999795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25" t="s">
        <v>1224</v>
      </c>
      <c r="B355" s="26" t="s">
        <v>1225</v>
      </c>
      <c r="C355" s="88">
        <v>360000</v>
      </c>
      <c r="D355" s="88">
        <v>326613.65999999997</v>
      </c>
      <c r="E355" s="88"/>
      <c r="F355" s="98">
        <v>330000</v>
      </c>
      <c r="G355" s="98"/>
      <c r="H355" s="98"/>
      <c r="I355" s="27">
        <f t="shared" si="1"/>
        <v>3386.3400000000256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25" t="s">
        <v>1226</v>
      </c>
      <c r="B356" s="26" t="s">
        <v>1227</v>
      </c>
      <c r="C356" s="88">
        <v>9000000</v>
      </c>
      <c r="D356" s="88">
        <v>4163294.05</v>
      </c>
      <c r="E356" s="88"/>
      <c r="F356" s="98">
        <v>11000000</v>
      </c>
      <c r="G356" s="98"/>
      <c r="H356" s="98"/>
      <c r="I356" s="27">
        <f t="shared" si="1"/>
        <v>6836705.9500000002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25" t="s">
        <v>1228</v>
      </c>
      <c r="B357" s="26" t="s">
        <v>1229</v>
      </c>
      <c r="C357" s="88">
        <v>5900000</v>
      </c>
      <c r="D357" s="88">
        <v>3849446.69</v>
      </c>
      <c r="E357" s="88"/>
      <c r="F357" s="98">
        <v>5900000</v>
      </c>
      <c r="G357" s="98"/>
      <c r="H357" s="98"/>
      <c r="I357" s="27">
        <f t="shared" si="1"/>
        <v>2050553.31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28" t="s">
        <v>1230</v>
      </c>
      <c r="B358" s="29" t="s">
        <v>1231</v>
      </c>
      <c r="C358" s="86">
        <v>360000</v>
      </c>
      <c r="D358" s="86">
        <v>394296.99</v>
      </c>
      <c r="E358" s="86">
        <v>0</v>
      </c>
      <c r="F358" s="96">
        <v>414503.09</v>
      </c>
      <c r="G358" s="96">
        <f>+G359+G360</f>
        <v>0</v>
      </c>
      <c r="H358" s="96">
        <f>ROUND(+H359+H360,2)</f>
        <v>0</v>
      </c>
      <c r="I358" s="30">
        <f t="shared" si="1"/>
        <v>20206.100000000035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37" t="s">
        <v>1232</v>
      </c>
      <c r="B359" s="38" t="s">
        <v>1233</v>
      </c>
      <c r="C359" s="87">
        <v>0</v>
      </c>
      <c r="D359" s="87">
        <v>4890</v>
      </c>
      <c r="E359" s="87"/>
      <c r="F359" s="97">
        <v>34194.559999999998</v>
      </c>
      <c r="G359" s="97"/>
      <c r="H359" s="97"/>
      <c r="I359" s="39">
        <f t="shared" si="1"/>
        <v>29304.559999999998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37" t="s">
        <v>1234</v>
      </c>
      <c r="B360" s="38" t="s">
        <v>1235</v>
      </c>
      <c r="C360" s="87">
        <v>360000</v>
      </c>
      <c r="D360" s="87">
        <v>389406.99</v>
      </c>
      <c r="E360" s="87"/>
      <c r="F360" s="97">
        <v>380308.53</v>
      </c>
      <c r="G360" s="97"/>
      <c r="H360" s="97"/>
      <c r="I360" s="39">
        <f t="shared" si="1"/>
        <v>-9098.4599999999627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28" t="s">
        <v>1236</v>
      </c>
      <c r="B361" s="29" t="s">
        <v>1237</v>
      </c>
      <c r="C361" s="86">
        <v>13733428.85</v>
      </c>
      <c r="D361" s="86">
        <v>13530153.57</v>
      </c>
      <c r="E361" s="86">
        <v>192901.25</v>
      </c>
      <c r="F361" s="96">
        <v>10486951</v>
      </c>
      <c r="G361" s="96">
        <f>+G362+G363+G364</f>
        <v>434842.22142857144</v>
      </c>
      <c r="H361" s="96">
        <f>ROUND(+H362+H363+H364,2)</f>
        <v>156725.94</v>
      </c>
      <c r="I361" s="30">
        <f t="shared" si="1"/>
        <v>-3043202.5700000003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34" t="s">
        <v>1238</v>
      </c>
      <c r="B362" s="35" t="s">
        <v>1239</v>
      </c>
      <c r="C362" s="87">
        <v>66773.850000000006</v>
      </c>
      <c r="D362" s="87">
        <v>67031.350000000006</v>
      </c>
      <c r="E362" s="87"/>
      <c r="F362" s="97">
        <v>296</v>
      </c>
      <c r="G362" s="97"/>
      <c r="H362" s="97"/>
      <c r="I362" s="36">
        <f t="shared" si="1"/>
        <v>-66735.350000000006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37" t="s">
        <v>1240</v>
      </c>
      <c r="B363" s="38" t="s">
        <v>1241</v>
      </c>
      <c r="C363" s="87">
        <v>0</v>
      </c>
      <c r="D363" s="87">
        <v>0</v>
      </c>
      <c r="E363" s="87"/>
      <c r="F363" s="97">
        <v>0</v>
      </c>
      <c r="G363" s="97"/>
      <c r="H363" s="97"/>
      <c r="I363" s="39">
        <f t="shared" si="1"/>
        <v>0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40" t="s">
        <v>1242</v>
      </c>
      <c r="B364" s="55" t="s">
        <v>1243</v>
      </c>
      <c r="C364" s="85">
        <v>13666655</v>
      </c>
      <c r="D364" s="85">
        <v>13463122.220000001</v>
      </c>
      <c r="E364" s="85">
        <v>192901.25</v>
      </c>
      <c r="F364" s="95">
        <v>10486655</v>
      </c>
      <c r="G364" s="95">
        <f>+G365+G366</f>
        <v>434842.22142857144</v>
      </c>
      <c r="H364" s="95">
        <f>ROUND(H365+H366,2)</f>
        <v>156725.94</v>
      </c>
      <c r="I364" s="41">
        <f t="shared" si="1"/>
        <v>-2976467.2200000007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37" t="s">
        <v>1244</v>
      </c>
      <c r="B365" s="38" t="s">
        <v>1245</v>
      </c>
      <c r="C365" s="87">
        <v>11461735</v>
      </c>
      <c r="D365" s="87">
        <v>11338450.92</v>
      </c>
      <c r="E365" s="87">
        <v>42369.29</v>
      </c>
      <c r="F365" s="97">
        <v>8341735</v>
      </c>
      <c r="G365" s="97">
        <v>60592.65</v>
      </c>
      <c r="H365" s="97"/>
      <c r="I365" s="39">
        <f t="shared" si="1"/>
        <v>-2996715.92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37" t="s">
        <v>1246</v>
      </c>
      <c r="B366" s="38" t="s">
        <v>1247</v>
      </c>
      <c r="C366" s="87">
        <v>2204920</v>
      </c>
      <c r="D366" s="87">
        <v>2124671.2999999998</v>
      </c>
      <c r="E366" s="87">
        <v>150531.96</v>
      </c>
      <c r="F366" s="97">
        <v>2144920</v>
      </c>
      <c r="G366" s="97">
        <v>374249.57142857142</v>
      </c>
      <c r="H366" s="97">
        <f>96133.29+60592.65</f>
        <v>156725.94</v>
      </c>
      <c r="I366" s="39">
        <f t="shared" si="1"/>
        <v>20248.700000000186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3" t="s">
        <v>1248</v>
      </c>
      <c r="B367" s="14" t="s">
        <v>1249</v>
      </c>
      <c r="C367" s="86">
        <v>325105.73</v>
      </c>
      <c r="D367" s="86">
        <v>217209.31</v>
      </c>
      <c r="E367" s="86">
        <v>0</v>
      </c>
      <c r="F367" s="96">
        <v>217500</v>
      </c>
      <c r="G367" s="96">
        <f>+G368+G369+G370+G377</f>
        <v>0</v>
      </c>
      <c r="H367" s="96">
        <f>ROUND(+H368+H369+H370+H377,2)</f>
        <v>0</v>
      </c>
      <c r="I367" s="15">
        <f t="shared" si="1"/>
        <v>290.69000000000233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48" t="s">
        <v>1250</v>
      </c>
      <c r="B368" s="49" t="s">
        <v>1251</v>
      </c>
      <c r="C368" s="87">
        <v>0</v>
      </c>
      <c r="D368" s="87">
        <v>0</v>
      </c>
      <c r="E368" s="87"/>
      <c r="F368" s="97">
        <v>0</v>
      </c>
      <c r="G368" s="97"/>
      <c r="H368" s="97"/>
      <c r="I368" s="36">
        <f t="shared" si="1"/>
        <v>0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25" t="s">
        <v>1252</v>
      </c>
      <c r="B369" s="26" t="s">
        <v>1253</v>
      </c>
      <c r="C369" s="88">
        <v>0</v>
      </c>
      <c r="D369" s="88">
        <v>0</v>
      </c>
      <c r="E369" s="88"/>
      <c r="F369" s="98">
        <v>0</v>
      </c>
      <c r="G369" s="98"/>
      <c r="H369" s="98"/>
      <c r="I369" s="27">
        <f t="shared" si="1"/>
        <v>0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28" t="s">
        <v>1254</v>
      </c>
      <c r="B370" s="29" t="s">
        <v>1255</v>
      </c>
      <c r="C370" s="86">
        <v>288605.73</v>
      </c>
      <c r="D370" s="86">
        <v>181041.13</v>
      </c>
      <c r="E370" s="86">
        <v>0</v>
      </c>
      <c r="F370" s="96">
        <v>181000</v>
      </c>
      <c r="G370" s="96">
        <f>+G371+G372+G373+G374+G375+G376</f>
        <v>0</v>
      </c>
      <c r="H370" s="96">
        <f>ROUND(SUM(H371:H376),2)</f>
        <v>0</v>
      </c>
      <c r="I370" s="30">
        <f t="shared" si="1"/>
        <v>-41.130000000004657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37" t="s">
        <v>1256</v>
      </c>
      <c r="B371" s="38" t="s">
        <v>1257</v>
      </c>
      <c r="C371" s="87">
        <v>78605.73</v>
      </c>
      <c r="D371" s="87">
        <v>70821.06</v>
      </c>
      <c r="E371" s="87"/>
      <c r="F371" s="97">
        <v>71000</v>
      </c>
      <c r="G371" s="97"/>
      <c r="H371" s="97"/>
      <c r="I371" s="39">
        <f t="shared" si="1"/>
        <v>178.94000000000233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37" t="s">
        <v>1258</v>
      </c>
      <c r="B372" s="38" t="s">
        <v>1259</v>
      </c>
      <c r="C372" s="87">
        <v>0</v>
      </c>
      <c r="D372" s="87">
        <v>0</v>
      </c>
      <c r="E372" s="87"/>
      <c r="F372" s="97">
        <v>0</v>
      </c>
      <c r="G372" s="97"/>
      <c r="H372" s="97"/>
      <c r="I372" s="39">
        <f t="shared" si="1"/>
        <v>0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37" t="s">
        <v>1260</v>
      </c>
      <c r="B373" s="38" t="s">
        <v>1261</v>
      </c>
      <c r="C373" s="87">
        <v>0</v>
      </c>
      <c r="D373" s="87">
        <v>0</v>
      </c>
      <c r="E373" s="87"/>
      <c r="F373" s="97">
        <v>0</v>
      </c>
      <c r="G373" s="97"/>
      <c r="H373" s="97"/>
      <c r="I373" s="39">
        <f t="shared" si="1"/>
        <v>0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37" t="s">
        <v>1262</v>
      </c>
      <c r="B374" s="38" t="s">
        <v>1263</v>
      </c>
      <c r="C374" s="87">
        <v>0</v>
      </c>
      <c r="D374" s="87">
        <v>0</v>
      </c>
      <c r="E374" s="87"/>
      <c r="F374" s="97">
        <v>0</v>
      </c>
      <c r="G374" s="97"/>
      <c r="H374" s="97"/>
      <c r="I374" s="39">
        <f t="shared" si="1"/>
        <v>0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37" t="s">
        <v>1264</v>
      </c>
      <c r="B375" s="38" t="s">
        <v>1265</v>
      </c>
      <c r="C375" s="87">
        <v>210000</v>
      </c>
      <c r="D375" s="87">
        <v>110220.07</v>
      </c>
      <c r="E375" s="87"/>
      <c r="F375" s="97">
        <v>110000</v>
      </c>
      <c r="G375" s="97"/>
      <c r="H375" s="97"/>
      <c r="I375" s="39">
        <f t="shared" si="1"/>
        <v>-220.07000000000698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37" t="s">
        <v>1266</v>
      </c>
      <c r="B376" s="38" t="s">
        <v>1267</v>
      </c>
      <c r="C376" s="87">
        <v>0</v>
      </c>
      <c r="D376" s="87">
        <v>0</v>
      </c>
      <c r="E376" s="87"/>
      <c r="F376" s="97">
        <v>0</v>
      </c>
      <c r="G376" s="97"/>
      <c r="H376" s="97"/>
      <c r="I376" s="39">
        <f t="shared" si="1"/>
        <v>0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28" t="s">
        <v>1268</v>
      </c>
      <c r="B377" s="29" t="s">
        <v>1269</v>
      </c>
      <c r="C377" s="86">
        <v>36500</v>
      </c>
      <c r="D377" s="86">
        <v>36168.18</v>
      </c>
      <c r="E377" s="86">
        <v>0</v>
      </c>
      <c r="F377" s="96">
        <v>36500</v>
      </c>
      <c r="G377" s="96">
        <f>+G378+G379+G380</f>
        <v>0</v>
      </c>
      <c r="H377" s="96">
        <f>ROUND(SUM(H378:H380),2)</f>
        <v>0</v>
      </c>
      <c r="I377" s="30">
        <f t="shared" si="1"/>
        <v>331.81999999999971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34" t="s">
        <v>1270</v>
      </c>
      <c r="B378" s="35" t="s">
        <v>1271</v>
      </c>
      <c r="C378" s="87">
        <v>0</v>
      </c>
      <c r="D378" s="87">
        <v>0</v>
      </c>
      <c r="E378" s="87"/>
      <c r="F378" s="97">
        <v>0</v>
      </c>
      <c r="G378" s="97"/>
      <c r="H378" s="97"/>
      <c r="I378" s="36">
        <f t="shared" si="1"/>
        <v>0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37" t="s">
        <v>1272</v>
      </c>
      <c r="B379" s="38" t="s">
        <v>1273</v>
      </c>
      <c r="C379" s="87">
        <v>36500</v>
      </c>
      <c r="D379" s="87">
        <v>36168.18</v>
      </c>
      <c r="E379" s="87"/>
      <c r="F379" s="97">
        <v>36500</v>
      </c>
      <c r="G379" s="97"/>
      <c r="H379" s="97"/>
      <c r="I379" s="39">
        <f t="shared" si="1"/>
        <v>331.81999999999971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37" t="s">
        <v>1274</v>
      </c>
      <c r="B380" s="38" t="s">
        <v>1275</v>
      </c>
      <c r="C380" s="87">
        <v>0</v>
      </c>
      <c r="D380" s="87">
        <v>0</v>
      </c>
      <c r="E380" s="87"/>
      <c r="F380" s="97">
        <v>0</v>
      </c>
      <c r="G380" s="97"/>
      <c r="H380" s="97"/>
      <c r="I380" s="39">
        <f t="shared" si="1"/>
        <v>0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3" t="s">
        <v>1276</v>
      </c>
      <c r="B381" s="14" t="s">
        <v>0</v>
      </c>
      <c r="C381" s="86">
        <v>309000</v>
      </c>
      <c r="D381" s="86">
        <v>103200.34</v>
      </c>
      <c r="E381" s="86">
        <v>0</v>
      </c>
      <c r="F381" s="96">
        <v>106000</v>
      </c>
      <c r="G381" s="96">
        <f>+G382+G383</f>
        <v>0</v>
      </c>
      <c r="H381" s="96">
        <f>ROUND(+H382+H383,2)</f>
        <v>0</v>
      </c>
      <c r="I381" s="15">
        <f t="shared" si="1"/>
        <v>2799.6600000000035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25" t="s">
        <v>1</v>
      </c>
      <c r="B382" s="26" t="s">
        <v>2</v>
      </c>
      <c r="C382" s="88">
        <v>9000</v>
      </c>
      <c r="D382" s="88">
        <v>1016</v>
      </c>
      <c r="E382" s="88"/>
      <c r="F382" s="98">
        <v>1000</v>
      </c>
      <c r="G382" s="98"/>
      <c r="H382" s="98"/>
      <c r="I382" s="27">
        <f t="shared" si="1"/>
        <v>-16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25" t="s">
        <v>3</v>
      </c>
      <c r="B383" s="26" t="s">
        <v>4</v>
      </c>
      <c r="C383" s="88">
        <v>300000</v>
      </c>
      <c r="D383" s="88">
        <v>102184.34</v>
      </c>
      <c r="E383" s="88"/>
      <c r="F383" s="98">
        <v>105000</v>
      </c>
      <c r="G383" s="98"/>
      <c r="H383" s="98"/>
      <c r="I383" s="27">
        <f t="shared" si="1"/>
        <v>2815.6600000000035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0" t="s">
        <v>5</v>
      </c>
      <c r="B384" s="11" t="s">
        <v>6</v>
      </c>
      <c r="C384" s="85">
        <v>26025000</v>
      </c>
      <c r="D384" s="85">
        <v>22900733.32</v>
      </c>
      <c r="E384" s="85">
        <v>158215.65</v>
      </c>
      <c r="F384" s="95">
        <v>24557000</v>
      </c>
      <c r="G384" s="95">
        <f>+G385+G386+G387+G388+G389+G390+G391</f>
        <v>6070.74</v>
      </c>
      <c r="H384" s="95">
        <f>ROUND(SUM(H385:H391),2)</f>
        <v>0</v>
      </c>
      <c r="I384" s="12">
        <f t="shared" si="1"/>
        <v>1656266.6799999997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25" t="s">
        <v>7</v>
      </c>
      <c r="B385" s="26" t="s">
        <v>8</v>
      </c>
      <c r="C385" s="88">
        <v>7650000</v>
      </c>
      <c r="D385" s="88">
        <v>6488810.5700000003</v>
      </c>
      <c r="E385" s="88">
        <v>92124.73</v>
      </c>
      <c r="F385" s="98">
        <v>7650000</v>
      </c>
      <c r="G385" s="98">
        <v>6070.74</v>
      </c>
      <c r="H385" s="98"/>
      <c r="I385" s="27">
        <f t="shared" si="1"/>
        <v>1161189.4299999997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25" t="s">
        <v>9</v>
      </c>
      <c r="B386" s="26" t="s">
        <v>10</v>
      </c>
      <c r="C386" s="88">
        <v>4350000</v>
      </c>
      <c r="D386" s="88">
        <v>2263099.85</v>
      </c>
      <c r="E386" s="88">
        <v>34036.03</v>
      </c>
      <c r="F386" s="98">
        <v>2300000</v>
      </c>
      <c r="G386" s="98"/>
      <c r="H386" s="98"/>
      <c r="I386" s="27">
        <f t="shared" si="1"/>
        <v>36900.149999999907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25" t="s">
        <v>11</v>
      </c>
      <c r="B387" s="26" t="s">
        <v>12</v>
      </c>
      <c r="C387" s="88">
        <v>10000000</v>
      </c>
      <c r="D387" s="88">
        <v>9986927.0199999996</v>
      </c>
      <c r="E387" s="88"/>
      <c r="F387" s="98">
        <v>10000000</v>
      </c>
      <c r="G387" s="98"/>
      <c r="H387" s="98"/>
      <c r="I387" s="27">
        <f t="shared" si="1"/>
        <v>13072.980000000447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25" t="s">
        <v>13</v>
      </c>
      <c r="B388" s="26" t="s">
        <v>14</v>
      </c>
      <c r="C388" s="88">
        <v>90000</v>
      </c>
      <c r="D388" s="88">
        <v>84503.78</v>
      </c>
      <c r="E388" s="88"/>
      <c r="F388" s="98">
        <v>90000</v>
      </c>
      <c r="G388" s="98"/>
      <c r="H388" s="98"/>
      <c r="I388" s="27">
        <f t="shared" si="1"/>
        <v>5496.2200000000012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25" t="s">
        <v>15</v>
      </c>
      <c r="B389" s="26" t="s">
        <v>16</v>
      </c>
      <c r="C389" s="88">
        <v>20000</v>
      </c>
      <c r="D389" s="88">
        <v>16463.59</v>
      </c>
      <c r="E389" s="88"/>
      <c r="F389" s="98">
        <v>17000</v>
      </c>
      <c r="G389" s="98"/>
      <c r="H389" s="98"/>
      <c r="I389" s="27">
        <f t="shared" si="1"/>
        <v>536.40999999999985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25" t="s">
        <v>17</v>
      </c>
      <c r="B390" s="26" t="s">
        <v>18</v>
      </c>
      <c r="C390" s="88">
        <v>3915000</v>
      </c>
      <c r="D390" s="88">
        <v>4060928.51</v>
      </c>
      <c r="E390" s="88">
        <v>32054.89</v>
      </c>
      <c r="F390" s="98">
        <v>4500000</v>
      </c>
      <c r="G390" s="98"/>
      <c r="H390" s="98"/>
      <c r="I390" s="27">
        <f t="shared" si="1"/>
        <v>439071.49000000022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48" t="s">
        <v>19</v>
      </c>
      <c r="B391" s="49" t="s">
        <v>20</v>
      </c>
      <c r="C391" s="87">
        <v>0</v>
      </c>
      <c r="D391" s="87">
        <v>0</v>
      </c>
      <c r="E391" s="87"/>
      <c r="F391" s="97">
        <v>0</v>
      </c>
      <c r="G391" s="97"/>
      <c r="H391" s="97"/>
      <c r="I391" s="36">
        <f t="shared" si="1"/>
        <v>0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0" t="s">
        <v>21</v>
      </c>
      <c r="B392" s="11" t="s">
        <v>22</v>
      </c>
      <c r="C392" s="85">
        <v>14998742.710000001</v>
      </c>
      <c r="D392" s="85">
        <v>12996049.470000001</v>
      </c>
      <c r="E392" s="85">
        <v>115719.38</v>
      </c>
      <c r="F392" s="95">
        <v>13198742.710000001</v>
      </c>
      <c r="G392" s="95">
        <f>+G393+G394+G397+G400+G401</f>
        <v>72122.51999999999</v>
      </c>
      <c r="H392" s="95">
        <f>ROUND(+H393+H394+H397+H400+H401,2)</f>
        <v>23144.25</v>
      </c>
      <c r="I392" s="12">
        <f t="shared" si="1"/>
        <v>202693.24000000022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3" t="s">
        <v>23</v>
      </c>
      <c r="B393" s="14" t="s">
        <v>24</v>
      </c>
      <c r="C393" s="86">
        <v>300000</v>
      </c>
      <c r="D393" s="86">
        <v>291329.55</v>
      </c>
      <c r="E393" s="86"/>
      <c r="F393" s="96">
        <v>300000</v>
      </c>
      <c r="G393" s="96"/>
      <c r="H393" s="96"/>
      <c r="I393" s="15">
        <f t="shared" si="1"/>
        <v>8670.4500000000116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3" t="s">
        <v>25</v>
      </c>
      <c r="B394" s="14" t="s">
        <v>26</v>
      </c>
      <c r="C394" s="86">
        <v>7894493.7999999998</v>
      </c>
      <c r="D394" s="86">
        <v>6097713</v>
      </c>
      <c r="E394" s="86">
        <v>115719.38</v>
      </c>
      <c r="F394" s="96">
        <v>6094493.7999999998</v>
      </c>
      <c r="G394" s="96">
        <f>+G395+G396</f>
        <v>72122.51999999999</v>
      </c>
      <c r="H394" s="96">
        <f>ROUND(+H395+H396,2)</f>
        <v>23144.25</v>
      </c>
      <c r="I394" s="15">
        <f t="shared" si="1"/>
        <v>-3219.2000000001863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25" t="s">
        <v>27</v>
      </c>
      <c r="B395" s="26" t="s">
        <v>28</v>
      </c>
      <c r="C395" s="88">
        <v>7489493.7999999998</v>
      </c>
      <c r="D395" s="88">
        <v>5685806.7599999998</v>
      </c>
      <c r="E395" s="88">
        <v>95945.81</v>
      </c>
      <c r="F395" s="98">
        <v>5689493.7999999998</v>
      </c>
      <c r="G395" s="98">
        <v>68133.119999999995</v>
      </c>
      <c r="H395" s="98">
        <v>19301.25</v>
      </c>
      <c r="I395" s="27">
        <f t="shared" si="1"/>
        <v>3687.0400000000373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25" t="s">
        <v>29</v>
      </c>
      <c r="B396" s="26" t="s">
        <v>30</v>
      </c>
      <c r="C396" s="88">
        <v>405000</v>
      </c>
      <c r="D396" s="88">
        <v>411906.24</v>
      </c>
      <c r="E396" s="88">
        <v>19773.57</v>
      </c>
      <c r="F396" s="98">
        <v>405000</v>
      </c>
      <c r="G396" s="98">
        <v>3989.4</v>
      </c>
      <c r="H396" s="98">
        <v>3843</v>
      </c>
      <c r="I396" s="27">
        <f t="shared" si="1"/>
        <v>-6906.2399999999907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3" t="s">
        <v>31</v>
      </c>
      <c r="B397" s="14" t="s">
        <v>32</v>
      </c>
      <c r="C397" s="86">
        <v>0</v>
      </c>
      <c r="D397" s="86">
        <v>0</v>
      </c>
      <c r="E397" s="86">
        <v>0</v>
      </c>
      <c r="F397" s="96">
        <v>0</v>
      </c>
      <c r="G397" s="96">
        <f>+G398+G399</f>
        <v>0</v>
      </c>
      <c r="H397" s="96">
        <f>ROUND(+H398+H399,2)</f>
        <v>0</v>
      </c>
      <c r="I397" s="15">
        <f t="shared" si="1"/>
        <v>0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25" t="s">
        <v>33</v>
      </c>
      <c r="B398" s="26" t="s">
        <v>34</v>
      </c>
      <c r="C398" s="88">
        <v>0</v>
      </c>
      <c r="D398" s="88">
        <v>0</v>
      </c>
      <c r="E398" s="88"/>
      <c r="F398" s="98">
        <v>0</v>
      </c>
      <c r="G398" s="98"/>
      <c r="H398" s="98"/>
      <c r="I398" s="27">
        <f t="shared" si="1"/>
        <v>0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25" t="s">
        <v>35</v>
      </c>
      <c r="B399" s="26" t="s">
        <v>36</v>
      </c>
      <c r="C399" s="88">
        <v>0</v>
      </c>
      <c r="D399" s="88">
        <v>0</v>
      </c>
      <c r="E399" s="88"/>
      <c r="F399" s="98">
        <v>0</v>
      </c>
      <c r="G399" s="98"/>
      <c r="H399" s="98"/>
      <c r="I399" s="27">
        <f t="shared" si="1"/>
        <v>0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3" t="s">
        <v>37</v>
      </c>
      <c r="B400" s="14" t="s">
        <v>38</v>
      </c>
      <c r="C400" s="86">
        <v>6804248.9100000001</v>
      </c>
      <c r="D400" s="86">
        <v>6607006.9199999999</v>
      </c>
      <c r="E400" s="86"/>
      <c r="F400" s="96">
        <v>6804248.9100000001</v>
      </c>
      <c r="G400" s="96"/>
      <c r="H400" s="96"/>
      <c r="I400" s="15">
        <f t="shared" si="1"/>
        <v>197241.99000000022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56" t="s">
        <v>39</v>
      </c>
      <c r="B401" s="57" t="s">
        <v>40</v>
      </c>
      <c r="C401" s="87">
        <v>0</v>
      </c>
      <c r="D401" s="87">
        <v>0</v>
      </c>
      <c r="E401" s="87"/>
      <c r="F401" s="97">
        <v>0</v>
      </c>
      <c r="G401" s="97"/>
      <c r="H401" s="97"/>
      <c r="I401" s="36">
        <f t="shared" si="1"/>
        <v>0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58" t="s">
        <v>41</v>
      </c>
      <c r="B402" s="59" t="s">
        <v>42</v>
      </c>
      <c r="C402" s="90">
        <v>257541927.72999999</v>
      </c>
      <c r="D402" s="90">
        <v>253775505.21000001</v>
      </c>
      <c r="E402" s="90">
        <v>18339653.100000001</v>
      </c>
      <c r="F402" s="100">
        <v>256899071.91</v>
      </c>
      <c r="G402" s="100">
        <f>+G403+G417+G426+G435</f>
        <v>18927745.719999995</v>
      </c>
      <c r="H402" s="100">
        <f>ROUND(+H403+H417+H426+H435,2)</f>
        <v>4159360.57</v>
      </c>
      <c r="I402" s="60">
        <f t="shared" si="1"/>
        <v>3123566.6999999881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0" t="s">
        <v>43</v>
      </c>
      <c r="B403" s="11" t="s">
        <v>44</v>
      </c>
      <c r="C403" s="85">
        <v>206181426.09</v>
      </c>
      <c r="D403" s="85">
        <v>203404180.53</v>
      </c>
      <c r="E403" s="85">
        <v>14326955.26</v>
      </c>
      <c r="F403" s="95">
        <v>207041549.28999999</v>
      </c>
      <c r="G403" s="95">
        <f>+G404+G413</f>
        <v>15034178.599999994</v>
      </c>
      <c r="H403" s="95">
        <f>ROUND(+H404+H413,2)</f>
        <v>3261678.01</v>
      </c>
      <c r="I403" s="12">
        <f t="shared" si="1"/>
        <v>3637368.7599999905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3" t="s">
        <v>45</v>
      </c>
      <c r="B404" s="14" t="s">
        <v>46</v>
      </c>
      <c r="C404" s="86">
        <v>88916882.299999997</v>
      </c>
      <c r="D404" s="86">
        <v>87014638.159999996</v>
      </c>
      <c r="E404" s="86">
        <v>3398907.66</v>
      </c>
      <c r="F404" s="96">
        <v>88144173.870000005</v>
      </c>
      <c r="G404" s="96">
        <f>+G405+G409</f>
        <v>4022222.2999999993</v>
      </c>
      <c r="H404" s="96">
        <f>ROUND(+H405+H409,2)</f>
        <v>785761.23</v>
      </c>
      <c r="I404" s="15">
        <f t="shared" si="1"/>
        <v>1129535.7100000083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28" t="s">
        <v>47</v>
      </c>
      <c r="B405" s="29" t="s">
        <v>48</v>
      </c>
      <c r="C405" s="86">
        <v>82744083.430000007</v>
      </c>
      <c r="D405" s="86">
        <v>80837097.329999998</v>
      </c>
      <c r="E405" s="86">
        <v>3221831.9</v>
      </c>
      <c r="F405" s="96">
        <v>81920962.560000002</v>
      </c>
      <c r="G405" s="96">
        <f>+G406+G407+G408</f>
        <v>3954119.8999999994</v>
      </c>
      <c r="H405" s="96">
        <f>ROUND(SUM(H406:H408),2)</f>
        <v>770870.21</v>
      </c>
      <c r="I405" s="30">
        <f t="shared" si="1"/>
        <v>1083865.2300000042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25" t="s">
        <v>49</v>
      </c>
      <c r="B406" s="26" t="s">
        <v>50</v>
      </c>
      <c r="C406" s="88">
        <v>80634893.540000007</v>
      </c>
      <c r="D406" s="88">
        <v>78860970.510000005</v>
      </c>
      <c r="E406" s="88">
        <v>2492548.64</v>
      </c>
      <c r="F406" s="98">
        <v>79362648.730000004</v>
      </c>
      <c r="G406" s="98">
        <v>2995280.59</v>
      </c>
      <c r="H406" s="98">
        <v>639616.56999999972</v>
      </c>
      <c r="I406" s="27">
        <f t="shared" si="1"/>
        <v>501678.21999999881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25" t="s">
        <v>51</v>
      </c>
      <c r="B407" s="26" t="s">
        <v>52</v>
      </c>
      <c r="C407" s="88">
        <v>2109189.89</v>
      </c>
      <c r="D407" s="88">
        <v>1976126.82</v>
      </c>
      <c r="E407" s="88">
        <v>729283.26</v>
      </c>
      <c r="F407" s="98">
        <v>2558313.83</v>
      </c>
      <c r="G407" s="98">
        <v>958839.30999999982</v>
      </c>
      <c r="H407" s="98">
        <v>131253.64000000001</v>
      </c>
      <c r="I407" s="27">
        <f t="shared" si="1"/>
        <v>582187.01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25" t="s">
        <v>53</v>
      </c>
      <c r="B408" s="26" t="s">
        <v>54</v>
      </c>
      <c r="C408" s="88">
        <v>0</v>
      </c>
      <c r="D408" s="88">
        <v>0</v>
      </c>
      <c r="E408" s="88">
        <v>0</v>
      </c>
      <c r="F408" s="98">
        <v>0</v>
      </c>
      <c r="G408" s="98"/>
      <c r="H408" s="98"/>
      <c r="I408" s="27">
        <f t="shared" si="1"/>
        <v>0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28" t="s">
        <v>55</v>
      </c>
      <c r="B409" s="29" t="s">
        <v>56</v>
      </c>
      <c r="C409" s="86">
        <v>6172798.8700000001</v>
      </c>
      <c r="D409" s="86">
        <v>6177540.8300000001</v>
      </c>
      <c r="E409" s="86">
        <v>177075.76</v>
      </c>
      <c r="F409" s="96">
        <v>6223211.3099999996</v>
      </c>
      <c r="G409" s="96">
        <f>SUM(G410:G412)</f>
        <v>68102.400000000009</v>
      </c>
      <c r="H409" s="96">
        <f>ROUND(SUM(H410:H412),2)</f>
        <v>14891.02</v>
      </c>
      <c r="I409" s="30">
        <f t="shared" si="1"/>
        <v>45670.479999999516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25" t="s">
        <v>57</v>
      </c>
      <c r="B410" s="26" t="s">
        <v>58</v>
      </c>
      <c r="C410" s="88">
        <v>5927378.54</v>
      </c>
      <c r="D410" s="88">
        <v>5948232.2999999998</v>
      </c>
      <c r="E410" s="88">
        <v>50899.31</v>
      </c>
      <c r="F410" s="98">
        <v>5924998.8099999996</v>
      </c>
      <c r="G410" s="98">
        <v>68102.400000000009</v>
      </c>
      <c r="H410" s="98">
        <v>14891.019999999997</v>
      </c>
      <c r="I410" s="27">
        <f t="shared" si="1"/>
        <v>-23233.490000000224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25" t="s">
        <v>59</v>
      </c>
      <c r="B411" s="26" t="s">
        <v>60</v>
      </c>
      <c r="C411" s="88">
        <v>245420.33</v>
      </c>
      <c r="D411" s="88">
        <v>229308.53</v>
      </c>
      <c r="E411" s="88">
        <v>126176.45</v>
      </c>
      <c r="F411" s="98">
        <v>298212.5</v>
      </c>
      <c r="G411" s="98"/>
      <c r="H411" s="98"/>
      <c r="I411" s="27">
        <f t="shared" si="1"/>
        <v>68903.97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25" t="s">
        <v>61</v>
      </c>
      <c r="B412" s="26" t="s">
        <v>62</v>
      </c>
      <c r="C412" s="88">
        <v>0</v>
      </c>
      <c r="D412" s="88">
        <v>0</v>
      </c>
      <c r="E412" s="88">
        <v>0</v>
      </c>
      <c r="F412" s="98">
        <v>0</v>
      </c>
      <c r="G412" s="98"/>
      <c r="H412" s="98"/>
      <c r="I412" s="27">
        <f t="shared" si="1"/>
        <v>0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3" t="s">
        <v>63</v>
      </c>
      <c r="B413" s="14" t="s">
        <v>64</v>
      </c>
      <c r="C413" s="86">
        <v>117264543.79000001</v>
      </c>
      <c r="D413" s="86">
        <v>116389542.37</v>
      </c>
      <c r="E413" s="86">
        <v>10928047.6</v>
      </c>
      <c r="F413" s="96">
        <v>118897375.42</v>
      </c>
      <c r="G413" s="96">
        <f>SUM(G414:G416)</f>
        <v>11011956.299999995</v>
      </c>
      <c r="H413" s="96">
        <f>ROUND(SUM(H414:H416),2)</f>
        <v>2475916.7799999998</v>
      </c>
      <c r="I413" s="15">
        <f t="shared" si="1"/>
        <v>2507833.049999997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25" t="s">
        <v>65</v>
      </c>
      <c r="B414" s="26" t="s">
        <v>66</v>
      </c>
      <c r="C414" s="88">
        <v>115629354.84999999</v>
      </c>
      <c r="D414" s="88">
        <v>114998834.03</v>
      </c>
      <c r="E414" s="88">
        <v>9835130.8399999999</v>
      </c>
      <c r="F414" s="98">
        <v>117484783.27</v>
      </c>
      <c r="G414" s="98">
        <v>10952661.759999996</v>
      </c>
      <c r="H414" s="98">
        <v>2450295.150000006</v>
      </c>
      <c r="I414" s="27">
        <f t="shared" si="1"/>
        <v>2485949.2399999946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25" t="s">
        <v>67</v>
      </c>
      <c r="B415" s="26" t="s">
        <v>68</v>
      </c>
      <c r="C415" s="88">
        <v>1635188.94</v>
      </c>
      <c r="D415" s="88">
        <v>1390708.34</v>
      </c>
      <c r="E415" s="88">
        <v>1092916.76</v>
      </c>
      <c r="F415" s="98">
        <v>1412592.15</v>
      </c>
      <c r="G415" s="98">
        <v>59294.539999999986</v>
      </c>
      <c r="H415" s="98">
        <v>25621.629999999997</v>
      </c>
      <c r="I415" s="27">
        <f t="shared" si="1"/>
        <v>21883.809999999823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25" t="s">
        <v>69</v>
      </c>
      <c r="B416" s="26" t="s">
        <v>70</v>
      </c>
      <c r="C416" s="88">
        <v>0</v>
      </c>
      <c r="D416" s="88">
        <v>0</v>
      </c>
      <c r="E416" s="88">
        <v>0</v>
      </c>
      <c r="F416" s="98">
        <v>0</v>
      </c>
      <c r="G416" s="98"/>
      <c r="H416" s="98"/>
      <c r="I416" s="27">
        <f t="shared" si="1"/>
        <v>0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0" t="s">
        <v>71</v>
      </c>
      <c r="B417" s="11" t="s">
        <v>72</v>
      </c>
      <c r="C417" s="85">
        <v>898770.58</v>
      </c>
      <c r="D417" s="85">
        <v>851988.77</v>
      </c>
      <c r="E417" s="85">
        <v>0</v>
      </c>
      <c r="F417" s="95">
        <v>924252.81</v>
      </c>
      <c r="G417" s="95">
        <f>G418+G422</f>
        <v>0</v>
      </c>
      <c r="H417" s="95">
        <f>ROUND(+H418+H422,2)</f>
        <v>0</v>
      </c>
      <c r="I417" s="12">
        <f t="shared" si="1"/>
        <v>72264.040000000037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3" t="s">
        <v>73</v>
      </c>
      <c r="B418" s="14" t="s">
        <v>74</v>
      </c>
      <c r="C418" s="86">
        <v>608545.1</v>
      </c>
      <c r="D418" s="86">
        <v>579567.02</v>
      </c>
      <c r="E418" s="86">
        <v>0</v>
      </c>
      <c r="F418" s="96">
        <v>631056.9</v>
      </c>
      <c r="G418" s="96">
        <f>SUM(G419:G421)</f>
        <v>0</v>
      </c>
      <c r="H418" s="96">
        <f>ROUND(SUM(H419:H421),2)</f>
        <v>0</v>
      </c>
      <c r="I418" s="15">
        <f t="shared" si="1"/>
        <v>51489.880000000005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25" t="s">
        <v>75</v>
      </c>
      <c r="B419" s="26" t="s">
        <v>76</v>
      </c>
      <c r="C419" s="88">
        <v>603714.80000000005</v>
      </c>
      <c r="D419" s="88">
        <v>579567.02</v>
      </c>
      <c r="E419" s="88">
        <v>0</v>
      </c>
      <c r="F419" s="98">
        <v>616514.16</v>
      </c>
      <c r="G419" s="98"/>
      <c r="H419" s="98"/>
      <c r="I419" s="27">
        <f t="shared" si="1"/>
        <v>36947.140000000014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25" t="s">
        <v>77</v>
      </c>
      <c r="B420" s="26" t="s">
        <v>78</v>
      </c>
      <c r="C420" s="88">
        <v>4830.3</v>
      </c>
      <c r="D420" s="88">
        <v>0</v>
      </c>
      <c r="E420" s="88">
        <v>0</v>
      </c>
      <c r="F420" s="98">
        <v>14542.74</v>
      </c>
      <c r="G420" s="98"/>
      <c r="H420" s="98"/>
      <c r="I420" s="27">
        <f t="shared" si="1"/>
        <v>14542.74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25" t="s">
        <v>79</v>
      </c>
      <c r="B421" s="26" t="s">
        <v>80</v>
      </c>
      <c r="C421" s="88">
        <v>0</v>
      </c>
      <c r="D421" s="88">
        <v>0</v>
      </c>
      <c r="E421" s="88">
        <v>0</v>
      </c>
      <c r="F421" s="98">
        <v>0</v>
      </c>
      <c r="G421" s="98"/>
      <c r="H421" s="98"/>
      <c r="I421" s="27">
        <f t="shared" si="1"/>
        <v>0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3" t="s">
        <v>81</v>
      </c>
      <c r="B422" s="14" t="s">
        <v>82</v>
      </c>
      <c r="C422" s="86">
        <v>290225.48</v>
      </c>
      <c r="D422" s="86">
        <v>272421.75</v>
      </c>
      <c r="E422" s="86">
        <v>0</v>
      </c>
      <c r="F422" s="96">
        <v>293195.90999999997</v>
      </c>
      <c r="G422" s="96">
        <f>SUM(G423:G425)</f>
        <v>0</v>
      </c>
      <c r="H422" s="96">
        <f>ROUND(SUM(H423:H425),2)</f>
        <v>0</v>
      </c>
      <c r="I422" s="15">
        <f t="shared" si="1"/>
        <v>20774.159999999974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25" t="s">
        <v>83</v>
      </c>
      <c r="B423" s="26" t="s">
        <v>84</v>
      </c>
      <c r="C423" s="88">
        <v>290225.48</v>
      </c>
      <c r="D423" s="88">
        <v>272421.75</v>
      </c>
      <c r="E423" s="88">
        <v>0</v>
      </c>
      <c r="F423" s="98">
        <v>293195.90999999997</v>
      </c>
      <c r="G423" s="98"/>
      <c r="H423" s="98"/>
      <c r="I423" s="27">
        <f t="shared" si="1"/>
        <v>20774.159999999974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25" t="s">
        <v>85</v>
      </c>
      <c r="B424" s="26" t="s">
        <v>86</v>
      </c>
      <c r="C424" s="88">
        <v>0</v>
      </c>
      <c r="D424" s="88">
        <v>0</v>
      </c>
      <c r="E424" s="88">
        <v>0</v>
      </c>
      <c r="F424" s="98">
        <v>0</v>
      </c>
      <c r="G424" s="98"/>
      <c r="H424" s="98"/>
      <c r="I424" s="27">
        <f t="shared" si="1"/>
        <v>0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25" t="s">
        <v>87</v>
      </c>
      <c r="B425" s="26" t="s">
        <v>88</v>
      </c>
      <c r="C425" s="88">
        <v>0</v>
      </c>
      <c r="D425" s="88">
        <v>0</v>
      </c>
      <c r="E425" s="88">
        <v>0</v>
      </c>
      <c r="F425" s="98">
        <v>0</v>
      </c>
      <c r="G425" s="98"/>
      <c r="H425" s="98"/>
      <c r="I425" s="27">
        <f t="shared" si="1"/>
        <v>0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0" t="s">
        <v>89</v>
      </c>
      <c r="B426" s="11" t="s">
        <v>90</v>
      </c>
      <c r="C426" s="85">
        <v>30903012.890000001</v>
      </c>
      <c r="D426" s="85">
        <v>30806218.059999999</v>
      </c>
      <c r="E426" s="85">
        <v>3215542.95</v>
      </c>
      <c r="F426" s="95">
        <v>30033565.43</v>
      </c>
      <c r="G426" s="95">
        <f>G427+G431</f>
        <v>3055232.03</v>
      </c>
      <c r="H426" s="95">
        <f>ROUND(+H427+H431,2)</f>
        <v>702306.64</v>
      </c>
      <c r="I426" s="12">
        <f t="shared" si="1"/>
        <v>-772652.62999999896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3" t="s">
        <v>91</v>
      </c>
      <c r="B427" s="14" t="s">
        <v>92</v>
      </c>
      <c r="C427" s="86">
        <v>441188.64</v>
      </c>
      <c r="D427" s="86">
        <v>440486.95</v>
      </c>
      <c r="E427" s="86">
        <v>0</v>
      </c>
      <c r="F427" s="96">
        <v>444854.23</v>
      </c>
      <c r="G427" s="96">
        <f>SUM(G428:G430)</f>
        <v>0</v>
      </c>
      <c r="H427" s="96">
        <f>ROUND(SUM(H428:H430),2)</f>
        <v>0</v>
      </c>
      <c r="I427" s="15">
        <f t="shared" si="1"/>
        <v>4367.2799999999697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25" t="s">
        <v>93</v>
      </c>
      <c r="B428" s="26" t="s">
        <v>94</v>
      </c>
      <c r="C428" s="88">
        <v>441188.64</v>
      </c>
      <c r="D428" s="88">
        <v>440486.95</v>
      </c>
      <c r="E428" s="88">
        <v>0</v>
      </c>
      <c r="F428" s="98">
        <v>444854.23</v>
      </c>
      <c r="G428" s="98"/>
      <c r="H428" s="98"/>
      <c r="I428" s="27">
        <f t="shared" si="1"/>
        <v>4367.2799999999697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25" t="s">
        <v>95</v>
      </c>
      <c r="B429" s="26" t="s">
        <v>96</v>
      </c>
      <c r="C429" s="88">
        <v>0</v>
      </c>
      <c r="D429" s="88">
        <v>0</v>
      </c>
      <c r="E429" s="88">
        <v>0</v>
      </c>
      <c r="F429" s="98">
        <v>0</v>
      </c>
      <c r="G429" s="98"/>
      <c r="H429" s="98"/>
      <c r="I429" s="27">
        <f t="shared" si="1"/>
        <v>0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25" t="s">
        <v>97</v>
      </c>
      <c r="B430" s="26" t="s">
        <v>98</v>
      </c>
      <c r="C430" s="88">
        <v>0</v>
      </c>
      <c r="D430" s="88">
        <v>0</v>
      </c>
      <c r="E430" s="88">
        <v>0</v>
      </c>
      <c r="F430" s="98">
        <v>0</v>
      </c>
      <c r="G430" s="98"/>
      <c r="H430" s="98"/>
      <c r="I430" s="27">
        <f t="shared" si="1"/>
        <v>0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3" t="s">
        <v>99</v>
      </c>
      <c r="B431" s="14" t="s">
        <v>100</v>
      </c>
      <c r="C431" s="86">
        <v>30461824.25</v>
      </c>
      <c r="D431" s="86">
        <v>30365731.109999999</v>
      </c>
      <c r="E431" s="86">
        <v>3215542.95</v>
      </c>
      <c r="F431" s="96">
        <v>29588711.199999999</v>
      </c>
      <c r="G431" s="96">
        <f>SUM(G432:G434)</f>
        <v>3055232.03</v>
      </c>
      <c r="H431" s="96">
        <f>ROUND(SUM(H432:H434),2)</f>
        <v>702306.64</v>
      </c>
      <c r="I431" s="15">
        <f t="shared" si="1"/>
        <v>-777019.91000000015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25" t="s">
        <v>101</v>
      </c>
      <c r="B432" s="26" t="s">
        <v>102</v>
      </c>
      <c r="C432" s="88">
        <v>30459255.039999999</v>
      </c>
      <c r="D432" s="88">
        <v>30365731.109999999</v>
      </c>
      <c r="E432" s="88">
        <v>3215542.95</v>
      </c>
      <c r="F432" s="98">
        <v>29580974.579999998</v>
      </c>
      <c r="G432" s="98">
        <v>3055232.03</v>
      </c>
      <c r="H432" s="98">
        <v>702306.64</v>
      </c>
      <c r="I432" s="27">
        <f t="shared" si="1"/>
        <v>-784756.53000000119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25" t="s">
        <v>103</v>
      </c>
      <c r="B433" s="26" t="s">
        <v>104</v>
      </c>
      <c r="C433" s="88">
        <v>2569.21</v>
      </c>
      <c r="D433" s="88">
        <v>0</v>
      </c>
      <c r="E433" s="88">
        <v>0</v>
      </c>
      <c r="F433" s="98">
        <v>7736.62</v>
      </c>
      <c r="G433" s="98"/>
      <c r="H433" s="98"/>
      <c r="I433" s="27">
        <f t="shared" si="1"/>
        <v>7736.62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25" t="s">
        <v>105</v>
      </c>
      <c r="B434" s="26" t="s">
        <v>106</v>
      </c>
      <c r="C434" s="88">
        <v>0</v>
      </c>
      <c r="D434" s="88">
        <v>0</v>
      </c>
      <c r="E434" s="88">
        <v>0</v>
      </c>
      <c r="F434" s="98">
        <v>0</v>
      </c>
      <c r="G434" s="98"/>
      <c r="H434" s="98"/>
      <c r="I434" s="27">
        <f t="shared" si="1"/>
        <v>0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0" t="s">
        <v>107</v>
      </c>
      <c r="B435" s="11" t="s">
        <v>108</v>
      </c>
      <c r="C435" s="85">
        <v>19558718.170000002</v>
      </c>
      <c r="D435" s="85">
        <v>18713117.850000001</v>
      </c>
      <c r="E435" s="85">
        <v>797154.89</v>
      </c>
      <c r="F435" s="95">
        <v>18899704.379999999</v>
      </c>
      <c r="G435" s="95">
        <f>G436+G440</f>
        <v>838335.09000000008</v>
      </c>
      <c r="H435" s="95">
        <f>ROUND(+H436+H440,2)</f>
        <v>195375.92</v>
      </c>
      <c r="I435" s="12">
        <f t="shared" si="1"/>
        <v>186586.52999999747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3" t="s">
        <v>109</v>
      </c>
      <c r="B436" s="14" t="s">
        <v>110</v>
      </c>
      <c r="C436" s="86">
        <v>852357.11</v>
      </c>
      <c r="D436" s="86">
        <v>834212.85</v>
      </c>
      <c r="E436" s="86">
        <v>0</v>
      </c>
      <c r="F436" s="96">
        <v>839875.13</v>
      </c>
      <c r="G436" s="96">
        <f>SUM(G437:G439)</f>
        <v>0</v>
      </c>
      <c r="H436" s="96">
        <f>ROUND(SUM(H437:H439),2)</f>
        <v>0</v>
      </c>
      <c r="I436" s="15">
        <f t="shared" si="1"/>
        <v>5662.2800000000279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25" t="s">
        <v>111</v>
      </c>
      <c r="B437" s="26" t="s">
        <v>112</v>
      </c>
      <c r="C437" s="88">
        <v>765875.18</v>
      </c>
      <c r="D437" s="88">
        <v>750814.84</v>
      </c>
      <c r="E437" s="88">
        <v>0</v>
      </c>
      <c r="F437" s="98">
        <v>754276.37</v>
      </c>
      <c r="G437" s="98"/>
      <c r="H437" s="98"/>
      <c r="I437" s="27">
        <f t="shared" si="1"/>
        <v>3461.5300000000279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25" t="s">
        <v>113</v>
      </c>
      <c r="B438" s="26" t="s">
        <v>114</v>
      </c>
      <c r="C438" s="88">
        <v>86481.93</v>
      </c>
      <c r="D438" s="88">
        <v>83398.009999999995</v>
      </c>
      <c r="E438" s="88">
        <v>0</v>
      </c>
      <c r="F438" s="98">
        <v>85598.76</v>
      </c>
      <c r="G438" s="98"/>
      <c r="H438" s="98"/>
      <c r="I438" s="27">
        <f t="shared" si="1"/>
        <v>2200.75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25" t="s">
        <v>115</v>
      </c>
      <c r="B439" s="26" t="s">
        <v>116</v>
      </c>
      <c r="C439" s="88">
        <v>0</v>
      </c>
      <c r="D439" s="88">
        <v>0</v>
      </c>
      <c r="E439" s="88">
        <v>0</v>
      </c>
      <c r="F439" s="98">
        <v>0</v>
      </c>
      <c r="G439" s="98"/>
      <c r="H439" s="98"/>
      <c r="I439" s="27">
        <f t="shared" si="1"/>
        <v>0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3" t="s">
        <v>117</v>
      </c>
      <c r="B440" s="14" t="s">
        <v>118</v>
      </c>
      <c r="C440" s="86">
        <v>18706361.059999999</v>
      </c>
      <c r="D440" s="86">
        <v>17878905</v>
      </c>
      <c r="E440" s="86">
        <v>797154.89</v>
      </c>
      <c r="F440" s="96">
        <v>18059829.25</v>
      </c>
      <c r="G440" s="96">
        <f>SUM(G441:G443)</f>
        <v>838335.09000000008</v>
      </c>
      <c r="H440" s="96">
        <f>ROUND(SUM(H441:H443),2)</f>
        <v>195375.92</v>
      </c>
      <c r="I440" s="15">
        <f t="shared" si="1"/>
        <v>180924.25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25" t="s">
        <v>119</v>
      </c>
      <c r="B441" s="26" t="s">
        <v>120</v>
      </c>
      <c r="C441" s="88">
        <v>18322747.5</v>
      </c>
      <c r="D441" s="88">
        <v>17540176.43</v>
      </c>
      <c r="E441" s="88">
        <v>678043.9</v>
      </c>
      <c r="F441" s="98">
        <v>17790941.030000001</v>
      </c>
      <c r="G441" s="98">
        <v>807988.28</v>
      </c>
      <c r="H441" s="98">
        <v>182978.2</v>
      </c>
      <c r="I441" s="27">
        <f t="shared" si="1"/>
        <v>250764.60000000149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25" t="s">
        <v>121</v>
      </c>
      <c r="B442" s="26" t="s">
        <v>122</v>
      </c>
      <c r="C442" s="88">
        <v>383613.56</v>
      </c>
      <c r="D442" s="88">
        <v>338728.57</v>
      </c>
      <c r="E442" s="88">
        <v>119110.99</v>
      </c>
      <c r="F442" s="98">
        <v>268888.21999999997</v>
      </c>
      <c r="G442" s="98">
        <v>30346.81</v>
      </c>
      <c r="H442" s="98">
        <v>12397.719999999998</v>
      </c>
      <c r="I442" s="27">
        <f t="shared" si="1"/>
        <v>-69840.350000000035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25" t="s">
        <v>123</v>
      </c>
      <c r="B443" s="26" t="s">
        <v>124</v>
      </c>
      <c r="C443" s="88">
        <v>0</v>
      </c>
      <c r="D443" s="88">
        <v>0</v>
      </c>
      <c r="E443" s="88">
        <v>0</v>
      </c>
      <c r="F443" s="98">
        <v>0</v>
      </c>
      <c r="G443" s="98"/>
      <c r="H443" s="98"/>
      <c r="I443" s="27">
        <f t="shared" si="1"/>
        <v>0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0" t="s">
        <v>125</v>
      </c>
      <c r="B444" s="11" t="s">
        <v>126</v>
      </c>
      <c r="C444" s="85">
        <v>2840000</v>
      </c>
      <c r="D444" s="85">
        <v>2502591.63</v>
      </c>
      <c r="E444" s="85">
        <v>3660</v>
      </c>
      <c r="F444" s="95">
        <v>4370000</v>
      </c>
      <c r="G444" s="95">
        <f>+G445+G446+G447</f>
        <v>0</v>
      </c>
      <c r="H444" s="95">
        <f>ROUND(+H445+H446+H447,2)</f>
        <v>0</v>
      </c>
      <c r="I444" s="12">
        <f t="shared" si="1"/>
        <v>1867408.37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61" t="s">
        <v>127</v>
      </c>
      <c r="B445" s="62" t="s">
        <v>128</v>
      </c>
      <c r="C445" s="86">
        <v>900000</v>
      </c>
      <c r="D445" s="86">
        <v>928657.87</v>
      </c>
      <c r="E445" s="86"/>
      <c r="F445" s="96">
        <v>930000</v>
      </c>
      <c r="G445" s="96"/>
      <c r="H445" s="96"/>
      <c r="I445" s="63">
        <f t="shared" si="1"/>
        <v>1342.1300000000047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28" t="s">
        <v>129</v>
      </c>
      <c r="B446" s="29" t="s">
        <v>130</v>
      </c>
      <c r="C446" s="86">
        <v>0</v>
      </c>
      <c r="D446" s="86">
        <v>0</v>
      </c>
      <c r="E446" s="86"/>
      <c r="F446" s="96">
        <v>0</v>
      </c>
      <c r="G446" s="96"/>
      <c r="H446" s="96"/>
      <c r="I446" s="30">
        <f t="shared" si="1"/>
        <v>0</v>
      </c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3" t="s">
        <v>131</v>
      </c>
      <c r="B447" s="14" t="s">
        <v>132</v>
      </c>
      <c r="C447" s="86">
        <v>1940000</v>
      </c>
      <c r="D447" s="86">
        <v>1573933.76</v>
      </c>
      <c r="E447" s="86">
        <v>3660</v>
      </c>
      <c r="F447" s="96">
        <v>3440000</v>
      </c>
      <c r="G447" s="96">
        <f>+G448+G449+G450+G451</f>
        <v>0</v>
      </c>
      <c r="H447" s="96">
        <f>ROUND(+H448+H449+H450+H451,2)</f>
        <v>0</v>
      </c>
      <c r="I447" s="15">
        <f t="shared" si="1"/>
        <v>1866066.24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25" t="s">
        <v>133</v>
      </c>
      <c r="B448" s="26" t="s">
        <v>134</v>
      </c>
      <c r="C448" s="88">
        <v>440000</v>
      </c>
      <c r="D448" s="88">
        <v>442871.83</v>
      </c>
      <c r="E448" s="88"/>
      <c r="F448" s="98">
        <v>440000</v>
      </c>
      <c r="G448" s="98"/>
      <c r="H448" s="98"/>
      <c r="I448" s="27">
        <f t="shared" si="1"/>
        <v>-2871.8300000000163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25" t="s">
        <v>135</v>
      </c>
      <c r="B449" s="26" t="s">
        <v>136</v>
      </c>
      <c r="C449" s="88">
        <v>1500000</v>
      </c>
      <c r="D449" s="88">
        <v>1108345.93</v>
      </c>
      <c r="E449" s="88">
        <v>3660</v>
      </c>
      <c r="F449" s="98">
        <v>3000000</v>
      </c>
      <c r="G449" s="98"/>
      <c r="H449" s="98"/>
      <c r="I449" s="27">
        <f t="shared" si="1"/>
        <v>1891654.07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48" t="s">
        <v>137</v>
      </c>
      <c r="B450" s="49" t="s">
        <v>138</v>
      </c>
      <c r="C450" s="87">
        <v>0</v>
      </c>
      <c r="D450" s="87">
        <v>0</v>
      </c>
      <c r="E450" s="87"/>
      <c r="F450" s="97">
        <v>0</v>
      </c>
      <c r="G450" s="97"/>
      <c r="H450" s="97"/>
      <c r="I450" s="36">
        <f t="shared" si="1"/>
        <v>0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25" t="s">
        <v>139</v>
      </c>
      <c r="B451" s="26" t="s">
        <v>140</v>
      </c>
      <c r="C451" s="88">
        <v>0</v>
      </c>
      <c r="D451" s="88">
        <v>22716</v>
      </c>
      <c r="E451" s="88"/>
      <c r="F451" s="98">
        <v>0</v>
      </c>
      <c r="G451" s="98"/>
      <c r="H451" s="98"/>
      <c r="I451" s="27">
        <f t="shared" si="1"/>
        <v>-22716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58" t="s">
        <v>141</v>
      </c>
      <c r="B452" s="59" t="s">
        <v>142</v>
      </c>
      <c r="C452" s="90">
        <v>36187635.289999999</v>
      </c>
      <c r="D452" s="90">
        <v>29150613.109999999</v>
      </c>
      <c r="E452" s="90">
        <v>8406.8700000000008</v>
      </c>
      <c r="F452" s="100">
        <v>32154126.02</v>
      </c>
      <c r="G452" s="100">
        <f>+G453+G461</f>
        <v>0</v>
      </c>
      <c r="H452" s="100">
        <f>ROUND(+H453+H461,2)</f>
        <v>0</v>
      </c>
      <c r="I452" s="60">
        <f t="shared" si="1"/>
        <v>3003512.91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0" t="s">
        <v>143</v>
      </c>
      <c r="B453" s="11" t="s">
        <v>144</v>
      </c>
      <c r="C453" s="85">
        <v>2839128.28</v>
      </c>
      <c r="D453" s="85">
        <v>2487296.64</v>
      </c>
      <c r="E453" s="85">
        <v>0</v>
      </c>
      <c r="F453" s="95">
        <v>2812133.57</v>
      </c>
      <c r="G453" s="95">
        <f>+G454+G455+G456+G457+G458+G459+G460</f>
        <v>0</v>
      </c>
      <c r="H453" s="95">
        <f>ROUND(SUM(H454:H460),2)</f>
        <v>0</v>
      </c>
      <c r="I453" s="12">
        <f t="shared" si="1"/>
        <v>324836.9299999997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37" t="s">
        <v>145</v>
      </c>
      <c r="B454" s="38" t="s">
        <v>146</v>
      </c>
      <c r="C454" s="87">
        <v>0</v>
      </c>
      <c r="D454" s="87">
        <v>0</v>
      </c>
      <c r="E454" s="87"/>
      <c r="F454" s="97">
        <v>0</v>
      </c>
      <c r="G454" s="97"/>
      <c r="H454" s="97"/>
      <c r="I454" s="39">
        <f t="shared" si="1"/>
        <v>0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37" t="s">
        <v>147</v>
      </c>
      <c r="B455" s="38" t="s">
        <v>148</v>
      </c>
      <c r="C455" s="87">
        <v>0</v>
      </c>
      <c r="D455" s="87">
        <v>0</v>
      </c>
      <c r="E455" s="87"/>
      <c r="F455" s="97">
        <v>0</v>
      </c>
      <c r="G455" s="97"/>
      <c r="H455" s="97"/>
      <c r="I455" s="39">
        <f t="shared" si="1"/>
        <v>0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37" t="s">
        <v>149</v>
      </c>
      <c r="B456" s="38" t="s">
        <v>150</v>
      </c>
      <c r="C456" s="87">
        <v>0</v>
      </c>
      <c r="D456" s="87">
        <v>0</v>
      </c>
      <c r="E456" s="87"/>
      <c r="F456" s="97">
        <v>0</v>
      </c>
      <c r="G456" s="97"/>
      <c r="H456" s="97"/>
      <c r="I456" s="39">
        <f t="shared" si="1"/>
        <v>0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37" t="s">
        <v>151</v>
      </c>
      <c r="B457" s="38" t="s">
        <v>152</v>
      </c>
      <c r="C457" s="87">
        <v>704311.71</v>
      </c>
      <c r="D457" s="87">
        <v>349836</v>
      </c>
      <c r="E457" s="87"/>
      <c r="F457" s="97">
        <v>677317</v>
      </c>
      <c r="G457" s="97"/>
      <c r="H457" s="97"/>
      <c r="I457" s="39">
        <f t="shared" si="1"/>
        <v>327481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37" t="s">
        <v>153</v>
      </c>
      <c r="B458" s="38" t="s">
        <v>154</v>
      </c>
      <c r="C458" s="87">
        <v>2134816.5699999998</v>
      </c>
      <c r="D458" s="87">
        <v>2137460.64</v>
      </c>
      <c r="E458" s="87"/>
      <c r="F458" s="97">
        <v>2134816.5699999998</v>
      </c>
      <c r="G458" s="97"/>
      <c r="H458" s="97"/>
      <c r="I458" s="39">
        <f t="shared" si="1"/>
        <v>-2644.070000000298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37" t="s">
        <v>155</v>
      </c>
      <c r="B459" s="38" t="s">
        <v>156</v>
      </c>
      <c r="C459" s="87">
        <v>0</v>
      </c>
      <c r="D459" s="87">
        <v>0</v>
      </c>
      <c r="E459" s="87"/>
      <c r="F459" s="97">
        <v>0</v>
      </c>
      <c r="G459" s="97"/>
      <c r="H459" s="97"/>
      <c r="I459" s="39">
        <f t="shared" si="1"/>
        <v>0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37" t="s">
        <v>157</v>
      </c>
      <c r="B460" s="38" t="s">
        <v>158</v>
      </c>
      <c r="C460" s="87">
        <v>0</v>
      </c>
      <c r="D460" s="87">
        <v>0</v>
      </c>
      <c r="E460" s="87"/>
      <c r="F460" s="97">
        <v>0</v>
      </c>
      <c r="G460" s="97"/>
      <c r="H460" s="97"/>
      <c r="I460" s="39">
        <f t="shared" si="1"/>
        <v>0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0" t="s">
        <v>159</v>
      </c>
      <c r="B461" s="11" t="s">
        <v>160</v>
      </c>
      <c r="C461" s="85">
        <v>33348507.010000002</v>
      </c>
      <c r="D461" s="85">
        <v>26663316.469999999</v>
      </c>
      <c r="E461" s="85">
        <v>8406.8700000000008</v>
      </c>
      <c r="F461" s="95">
        <v>29341992.449999999</v>
      </c>
      <c r="G461" s="95">
        <f>+G462+G469</f>
        <v>0</v>
      </c>
      <c r="H461" s="95">
        <f>ROUND(+H462+H469,2)</f>
        <v>0</v>
      </c>
      <c r="I461" s="12">
        <f t="shared" si="1"/>
        <v>2678675.9800000004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3" t="s">
        <v>161</v>
      </c>
      <c r="B462" s="14" t="s">
        <v>162</v>
      </c>
      <c r="C462" s="86">
        <v>14258614.27</v>
      </c>
      <c r="D462" s="86">
        <v>13239212.960000001</v>
      </c>
      <c r="E462" s="86">
        <v>0</v>
      </c>
      <c r="F462" s="96">
        <v>13998940.039999999</v>
      </c>
      <c r="G462" s="96">
        <f>+G463+G466</f>
        <v>0</v>
      </c>
      <c r="H462" s="96">
        <f>ROUND(+H463+H466,2)</f>
        <v>0</v>
      </c>
      <c r="I462" s="15">
        <f t="shared" si="1"/>
        <v>759727.07999999821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28" t="s">
        <v>163</v>
      </c>
      <c r="B463" s="29" t="s">
        <v>164</v>
      </c>
      <c r="C463" s="86">
        <v>29196.26</v>
      </c>
      <c r="D463" s="86">
        <v>30205.25</v>
      </c>
      <c r="E463" s="86">
        <v>0</v>
      </c>
      <c r="F463" s="96">
        <v>30420.23</v>
      </c>
      <c r="G463" s="96">
        <f>+G464+G465</f>
        <v>0</v>
      </c>
      <c r="H463" s="96">
        <f>ROUND(H464+H465,2)</f>
        <v>0</v>
      </c>
      <c r="I463" s="30">
        <f t="shared" si="1"/>
        <v>214.97999999999956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25" t="s">
        <v>165</v>
      </c>
      <c r="B464" s="26" t="s">
        <v>166</v>
      </c>
      <c r="C464" s="88">
        <v>25483.14</v>
      </c>
      <c r="D464" s="88">
        <v>25483.14</v>
      </c>
      <c r="E464" s="88"/>
      <c r="F464" s="98">
        <v>25483.14</v>
      </c>
      <c r="G464" s="98"/>
      <c r="H464" s="98"/>
      <c r="I464" s="27">
        <f t="shared" si="1"/>
        <v>0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25" t="s">
        <v>167</v>
      </c>
      <c r="B465" s="26" t="s">
        <v>168</v>
      </c>
      <c r="C465" s="88">
        <v>3713.12</v>
      </c>
      <c r="D465" s="88">
        <v>4722.1099999999997</v>
      </c>
      <c r="E465" s="88"/>
      <c r="F465" s="98">
        <v>4937.09</v>
      </c>
      <c r="G465" s="98"/>
      <c r="H465" s="98"/>
      <c r="I465" s="27">
        <f t="shared" si="1"/>
        <v>214.98000000000047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28" t="s">
        <v>169</v>
      </c>
      <c r="B466" s="29" t="s">
        <v>170</v>
      </c>
      <c r="C466" s="86">
        <v>14229418.01</v>
      </c>
      <c r="D466" s="86">
        <v>13209007.710000001</v>
      </c>
      <c r="E466" s="86">
        <v>0</v>
      </c>
      <c r="F466" s="96">
        <v>13968519.810000001</v>
      </c>
      <c r="G466" s="96">
        <f>+G467+G468</f>
        <v>0</v>
      </c>
      <c r="H466" s="96">
        <f>ROUND(H467+H468,2)</f>
        <v>0</v>
      </c>
      <c r="I466" s="30">
        <f t="shared" si="1"/>
        <v>759512.09999999963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25" t="s">
        <v>171</v>
      </c>
      <c r="B467" s="26" t="s">
        <v>172</v>
      </c>
      <c r="C467" s="88">
        <v>14229418.01</v>
      </c>
      <c r="D467" s="88">
        <v>13209007.710000001</v>
      </c>
      <c r="E467" s="88"/>
      <c r="F467" s="98">
        <v>13968519.810000001</v>
      </c>
      <c r="G467" s="98"/>
      <c r="H467" s="98"/>
      <c r="I467" s="27">
        <f t="shared" si="1"/>
        <v>759512.09999999963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25" t="s">
        <v>173</v>
      </c>
      <c r="B468" s="26" t="s">
        <v>174</v>
      </c>
      <c r="C468" s="88">
        <v>0</v>
      </c>
      <c r="D468" s="88">
        <v>0</v>
      </c>
      <c r="E468" s="88"/>
      <c r="F468" s="98">
        <v>0</v>
      </c>
      <c r="G468" s="98"/>
      <c r="H468" s="98"/>
      <c r="I468" s="27">
        <f t="shared" si="1"/>
        <v>0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0" t="s">
        <v>175</v>
      </c>
      <c r="B469" s="11" t="s">
        <v>176</v>
      </c>
      <c r="C469" s="85">
        <v>19089892.739999998</v>
      </c>
      <c r="D469" s="85">
        <v>13424103.51</v>
      </c>
      <c r="E469" s="85">
        <v>8406.8700000000008</v>
      </c>
      <c r="F469" s="95">
        <v>15343052.41</v>
      </c>
      <c r="G469" s="95">
        <f>+G470+G473+G474+G475+G476+G477</f>
        <v>0</v>
      </c>
      <c r="H469" s="95">
        <f>ROUND(H470+SUM(H473:H477),2)</f>
        <v>0</v>
      </c>
      <c r="I469" s="12">
        <f t="shared" si="1"/>
        <v>1918948.9000000004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40" t="s">
        <v>177</v>
      </c>
      <c r="B470" s="29" t="s">
        <v>178</v>
      </c>
      <c r="C470" s="85">
        <v>2097795.0299999998</v>
      </c>
      <c r="D470" s="85">
        <v>2020556.54</v>
      </c>
      <c r="E470" s="85">
        <v>0</v>
      </c>
      <c r="F470" s="95">
        <v>2513070.5</v>
      </c>
      <c r="G470" s="95">
        <f>+G471+G472</f>
        <v>0</v>
      </c>
      <c r="H470" s="95">
        <f>ROUND(H471+H472,2)</f>
        <v>0</v>
      </c>
      <c r="I470" s="41">
        <f t="shared" si="1"/>
        <v>492513.95999999996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37" t="s">
        <v>179</v>
      </c>
      <c r="B471" s="38" t="s">
        <v>180</v>
      </c>
      <c r="C471" s="87">
        <v>1328.48</v>
      </c>
      <c r="D471" s="87">
        <v>666.24</v>
      </c>
      <c r="E471" s="87"/>
      <c r="F471" s="97">
        <v>1332.48</v>
      </c>
      <c r="G471" s="97"/>
      <c r="H471" s="97"/>
      <c r="I471" s="39">
        <f t="shared" si="1"/>
        <v>666.24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37" t="s">
        <v>181</v>
      </c>
      <c r="B472" s="38" t="s">
        <v>182</v>
      </c>
      <c r="C472" s="87">
        <v>2096466.55</v>
      </c>
      <c r="D472" s="87">
        <v>2019890.3</v>
      </c>
      <c r="E472" s="87"/>
      <c r="F472" s="97">
        <v>2511738.02</v>
      </c>
      <c r="G472" s="97"/>
      <c r="H472" s="97"/>
      <c r="I472" s="39">
        <f t="shared" si="1"/>
        <v>491847.72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37" t="s">
        <v>183</v>
      </c>
      <c r="B473" s="29" t="s">
        <v>184</v>
      </c>
      <c r="C473" s="87">
        <v>13423930.6</v>
      </c>
      <c r="D473" s="87">
        <v>9065171.5500000007</v>
      </c>
      <c r="E473" s="87">
        <v>8406.8700000000008</v>
      </c>
      <c r="F473" s="97">
        <v>10469129.789999999</v>
      </c>
      <c r="G473" s="97"/>
      <c r="H473" s="97"/>
      <c r="I473" s="39">
        <f t="shared" si="1"/>
        <v>1403958.2399999984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37" t="s">
        <v>185</v>
      </c>
      <c r="B474" s="29" t="s">
        <v>186</v>
      </c>
      <c r="C474" s="87">
        <v>1656857.93</v>
      </c>
      <c r="D474" s="87">
        <v>815605.4</v>
      </c>
      <c r="E474" s="87"/>
      <c r="F474" s="97">
        <v>780250.28</v>
      </c>
      <c r="G474" s="97"/>
      <c r="H474" s="97"/>
      <c r="I474" s="39">
        <f t="shared" si="1"/>
        <v>-35355.119999999995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37" t="s">
        <v>187</v>
      </c>
      <c r="B475" s="29" t="s">
        <v>188</v>
      </c>
      <c r="C475" s="87">
        <v>55000</v>
      </c>
      <c r="D475" s="87">
        <v>21530.720000000001</v>
      </c>
      <c r="E475" s="87"/>
      <c r="F475" s="97">
        <v>49561.42</v>
      </c>
      <c r="G475" s="97"/>
      <c r="H475" s="97"/>
      <c r="I475" s="39">
        <f t="shared" si="1"/>
        <v>28030.699999999997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37" t="s">
        <v>189</v>
      </c>
      <c r="B476" s="29" t="s">
        <v>190</v>
      </c>
      <c r="C476" s="87">
        <v>1601925.62</v>
      </c>
      <c r="D476" s="87">
        <v>1281608.8999999999</v>
      </c>
      <c r="E476" s="87"/>
      <c r="F476" s="97">
        <v>1272659.18</v>
      </c>
      <c r="G476" s="97"/>
      <c r="H476" s="97"/>
      <c r="I476" s="39">
        <f t="shared" si="1"/>
        <v>-8949.7199999999721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37" t="s">
        <v>191</v>
      </c>
      <c r="B477" s="29" t="s">
        <v>192</v>
      </c>
      <c r="C477" s="87">
        <v>254383.56</v>
      </c>
      <c r="D477" s="87">
        <v>219630.4</v>
      </c>
      <c r="E477" s="87"/>
      <c r="F477" s="97">
        <v>258381.24</v>
      </c>
      <c r="G477" s="97"/>
      <c r="H477" s="97"/>
      <c r="I477" s="39">
        <f t="shared" si="1"/>
        <v>38750.839999999997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0" t="s">
        <v>193</v>
      </c>
      <c r="B478" s="11" t="s">
        <v>194</v>
      </c>
      <c r="C478" s="85">
        <v>500000</v>
      </c>
      <c r="D478" s="85">
        <v>697114.74</v>
      </c>
      <c r="E478" s="85">
        <v>0</v>
      </c>
      <c r="F478" s="95">
        <v>500000</v>
      </c>
      <c r="G478" s="95">
        <f>+G479+G480</f>
        <v>0</v>
      </c>
      <c r="H478" s="95">
        <f>ROUND(+H479+H480,2)</f>
        <v>0</v>
      </c>
      <c r="I478" s="12">
        <f t="shared" si="1"/>
        <v>-197114.74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25" t="s">
        <v>195</v>
      </c>
      <c r="B479" s="29" t="s">
        <v>196</v>
      </c>
      <c r="C479" s="88">
        <v>0</v>
      </c>
      <c r="D479" s="88">
        <v>0</v>
      </c>
      <c r="E479" s="88"/>
      <c r="F479" s="98">
        <v>0</v>
      </c>
      <c r="G479" s="98"/>
      <c r="H479" s="98"/>
      <c r="I479" s="27">
        <f t="shared" si="1"/>
        <v>0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3" t="s">
        <v>197</v>
      </c>
      <c r="B480" s="14" t="s">
        <v>198</v>
      </c>
      <c r="C480" s="86">
        <v>500000</v>
      </c>
      <c r="D480" s="86">
        <v>697114.74</v>
      </c>
      <c r="E480" s="86">
        <v>0</v>
      </c>
      <c r="F480" s="96">
        <v>500000</v>
      </c>
      <c r="G480" s="96">
        <f>+G481+G482</f>
        <v>0</v>
      </c>
      <c r="H480" s="96">
        <f>ROUND(H481+H482,2)</f>
        <v>0</v>
      </c>
      <c r="I480" s="15">
        <f t="shared" si="1"/>
        <v>-197114.74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25" t="s">
        <v>199</v>
      </c>
      <c r="B481" s="26" t="s">
        <v>200</v>
      </c>
      <c r="C481" s="88">
        <v>0</v>
      </c>
      <c r="D481" s="88">
        <v>0</v>
      </c>
      <c r="E481" s="88"/>
      <c r="F481" s="98">
        <v>0</v>
      </c>
      <c r="G481" s="98"/>
      <c r="H481" s="98"/>
      <c r="I481" s="27">
        <f t="shared" si="1"/>
        <v>0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25" t="s">
        <v>201</v>
      </c>
      <c r="B482" s="26" t="s">
        <v>202</v>
      </c>
      <c r="C482" s="88">
        <v>500000</v>
      </c>
      <c r="D482" s="88">
        <v>697114.74</v>
      </c>
      <c r="E482" s="88"/>
      <c r="F482" s="98">
        <v>500000</v>
      </c>
      <c r="G482" s="98"/>
      <c r="H482" s="98"/>
      <c r="I482" s="27">
        <f t="shared" si="1"/>
        <v>-197114.74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0" t="s">
        <v>203</v>
      </c>
      <c r="B483" s="11" t="s">
        <v>204</v>
      </c>
      <c r="C483" s="85">
        <v>0</v>
      </c>
      <c r="D483" s="85">
        <v>-718364.59</v>
      </c>
      <c r="E483" s="85">
        <v>0</v>
      </c>
      <c r="F483" s="95">
        <v>-8261140.7800000003</v>
      </c>
      <c r="G483" s="95">
        <f>+G484+G493</f>
        <v>0</v>
      </c>
      <c r="H483" s="95">
        <f>ROUND(+H484+H493,2)</f>
        <v>0</v>
      </c>
      <c r="I483" s="12">
        <f t="shared" si="1"/>
        <v>-7542776.1900000004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3" t="s">
        <v>205</v>
      </c>
      <c r="B484" s="14" t="s">
        <v>206</v>
      </c>
      <c r="C484" s="86">
        <v>0</v>
      </c>
      <c r="D484" s="86">
        <v>-1172487.6399999999</v>
      </c>
      <c r="E484" s="86">
        <v>0</v>
      </c>
      <c r="F484" s="96">
        <v>-8202398.5099999998</v>
      </c>
      <c r="G484" s="96">
        <f>SUM(G485:G492)</f>
        <v>0</v>
      </c>
      <c r="H484" s="96">
        <f>ROUND(SUM(H485:H492),2)</f>
        <v>0</v>
      </c>
      <c r="I484" s="15">
        <f t="shared" si="1"/>
        <v>-7029910.8700000001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25" t="s">
        <v>207</v>
      </c>
      <c r="B485" s="26" t="s">
        <v>208</v>
      </c>
      <c r="C485" s="88">
        <v>0</v>
      </c>
      <c r="D485" s="88">
        <v>503854.11</v>
      </c>
      <c r="E485" s="88"/>
      <c r="F485" s="98">
        <v>-4102948.61</v>
      </c>
      <c r="G485" s="98"/>
      <c r="H485" s="98"/>
      <c r="I485" s="27">
        <f t="shared" si="1"/>
        <v>-4606802.72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25" t="s">
        <v>209</v>
      </c>
      <c r="B486" s="26" t="s">
        <v>210</v>
      </c>
      <c r="C486" s="88">
        <v>0</v>
      </c>
      <c r="D486" s="88">
        <v>0</v>
      </c>
      <c r="E486" s="88"/>
      <c r="F486" s="98">
        <v>0</v>
      </c>
      <c r="G486" s="98"/>
      <c r="H486" s="98"/>
      <c r="I486" s="27">
        <f t="shared" si="1"/>
        <v>0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25" t="s">
        <v>211</v>
      </c>
      <c r="B487" s="26" t="s">
        <v>212</v>
      </c>
      <c r="C487" s="88">
        <v>0</v>
      </c>
      <c r="D487" s="88">
        <v>-1226922.1100000001</v>
      </c>
      <c r="E487" s="88"/>
      <c r="F487" s="98">
        <v>-3316360.35</v>
      </c>
      <c r="G487" s="98"/>
      <c r="H487" s="98"/>
      <c r="I487" s="27">
        <f t="shared" si="1"/>
        <v>-2089438.24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25" t="s">
        <v>213</v>
      </c>
      <c r="B488" s="26" t="s">
        <v>214</v>
      </c>
      <c r="C488" s="88">
        <v>0</v>
      </c>
      <c r="D488" s="88">
        <v>30668.75</v>
      </c>
      <c r="E488" s="88"/>
      <c r="F488" s="98">
        <v>-6830.3</v>
      </c>
      <c r="G488" s="98"/>
      <c r="H488" s="98"/>
      <c r="I488" s="27">
        <f t="shared" si="1"/>
        <v>-37499.050000000003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25" t="s">
        <v>215</v>
      </c>
      <c r="B489" s="26" t="s">
        <v>216</v>
      </c>
      <c r="C489" s="88">
        <v>0</v>
      </c>
      <c r="D489" s="88">
        <v>-20661.27</v>
      </c>
      <c r="E489" s="88"/>
      <c r="F489" s="98">
        <v>17393.330000000002</v>
      </c>
      <c r="G489" s="98"/>
      <c r="H489" s="98"/>
      <c r="I489" s="27">
        <f t="shared" si="1"/>
        <v>38054.600000000006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25" t="s">
        <v>217</v>
      </c>
      <c r="B490" s="26" t="s">
        <v>218</v>
      </c>
      <c r="C490" s="88">
        <v>0</v>
      </c>
      <c r="D490" s="88">
        <v>-214616.43</v>
      </c>
      <c r="E490" s="88"/>
      <c r="F490" s="98">
        <v>4095.79</v>
      </c>
      <c r="G490" s="98"/>
      <c r="H490" s="98"/>
      <c r="I490" s="27">
        <f t="shared" si="1"/>
        <v>218712.22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25" t="s">
        <v>219</v>
      </c>
      <c r="B491" s="26" t="s">
        <v>220</v>
      </c>
      <c r="C491" s="88">
        <v>0</v>
      </c>
      <c r="D491" s="88">
        <v>0</v>
      </c>
      <c r="E491" s="88"/>
      <c r="F491" s="98">
        <v>0</v>
      </c>
      <c r="G491" s="98"/>
      <c r="H491" s="98"/>
      <c r="I491" s="27">
        <f t="shared" si="1"/>
        <v>0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25" t="s">
        <v>221</v>
      </c>
      <c r="B492" s="26" t="s">
        <v>222</v>
      </c>
      <c r="C492" s="88">
        <v>0</v>
      </c>
      <c r="D492" s="88">
        <v>-244810.69</v>
      </c>
      <c r="E492" s="88"/>
      <c r="F492" s="98">
        <v>-797748.37</v>
      </c>
      <c r="G492" s="98"/>
      <c r="H492" s="98"/>
      <c r="I492" s="27">
        <f t="shared" si="1"/>
        <v>-552937.67999999993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3" t="s">
        <v>223</v>
      </c>
      <c r="B493" s="14" t="s">
        <v>224</v>
      </c>
      <c r="C493" s="86">
        <v>0</v>
      </c>
      <c r="D493" s="86">
        <v>454123.05</v>
      </c>
      <c r="E493" s="86">
        <v>0</v>
      </c>
      <c r="F493" s="96">
        <v>-58742.27</v>
      </c>
      <c r="G493" s="96">
        <f>SUM(G494:G499)</f>
        <v>0</v>
      </c>
      <c r="H493" s="96">
        <f>ROUND(SUM(H494:H499),2)</f>
        <v>0</v>
      </c>
      <c r="I493" s="15">
        <f t="shared" si="1"/>
        <v>-512865.32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25" t="s">
        <v>225</v>
      </c>
      <c r="B494" s="26" t="s">
        <v>226</v>
      </c>
      <c r="C494" s="88">
        <v>0</v>
      </c>
      <c r="D494" s="88">
        <v>0</v>
      </c>
      <c r="E494" s="88"/>
      <c r="F494" s="98">
        <v>0</v>
      </c>
      <c r="G494" s="98"/>
      <c r="H494" s="98"/>
      <c r="I494" s="27">
        <f t="shared" si="1"/>
        <v>0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25" t="s">
        <v>227</v>
      </c>
      <c r="B495" s="26" t="s">
        <v>228</v>
      </c>
      <c r="C495" s="88">
        <v>0</v>
      </c>
      <c r="D495" s="88">
        <v>-36366.69</v>
      </c>
      <c r="E495" s="88"/>
      <c r="F495" s="98">
        <v>-22212.720000000001</v>
      </c>
      <c r="G495" s="98"/>
      <c r="H495" s="98"/>
      <c r="I495" s="27">
        <f t="shared" si="1"/>
        <v>14153.970000000001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25" t="s">
        <v>229</v>
      </c>
      <c r="B496" s="26" t="s">
        <v>230</v>
      </c>
      <c r="C496" s="88">
        <v>0</v>
      </c>
      <c r="D496" s="88">
        <v>0</v>
      </c>
      <c r="E496" s="88"/>
      <c r="F496" s="98">
        <v>0</v>
      </c>
      <c r="G496" s="98"/>
      <c r="H496" s="98"/>
      <c r="I496" s="27">
        <f t="shared" si="1"/>
        <v>0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25" t="s">
        <v>231</v>
      </c>
      <c r="B497" s="26" t="s">
        <v>232</v>
      </c>
      <c r="C497" s="88">
        <v>0</v>
      </c>
      <c r="D497" s="88">
        <v>328100.93</v>
      </c>
      <c r="E497" s="88"/>
      <c r="F497" s="98">
        <v>-32302.15</v>
      </c>
      <c r="G497" s="98"/>
      <c r="H497" s="98"/>
      <c r="I497" s="27">
        <f t="shared" si="1"/>
        <v>-360403.08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25" t="s">
        <v>233</v>
      </c>
      <c r="B498" s="26" t="s">
        <v>234</v>
      </c>
      <c r="C498" s="88">
        <v>0</v>
      </c>
      <c r="D498" s="88">
        <v>162734.5</v>
      </c>
      <c r="E498" s="88"/>
      <c r="F498" s="98">
        <v>-4227.3999999999996</v>
      </c>
      <c r="G498" s="98"/>
      <c r="H498" s="98"/>
      <c r="I498" s="27">
        <f t="shared" si="1"/>
        <v>-166961.9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25" t="s">
        <v>235</v>
      </c>
      <c r="B499" s="26" t="s">
        <v>236</v>
      </c>
      <c r="C499" s="88">
        <v>0</v>
      </c>
      <c r="D499" s="88">
        <v>-345.69</v>
      </c>
      <c r="E499" s="88"/>
      <c r="F499" s="98">
        <v>0</v>
      </c>
      <c r="G499" s="98"/>
      <c r="H499" s="98"/>
      <c r="I499" s="27">
        <f t="shared" si="1"/>
        <v>345.69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0" t="s">
        <v>237</v>
      </c>
      <c r="B500" s="11" t="s">
        <v>238</v>
      </c>
      <c r="C500" s="85">
        <v>23585670.940000001</v>
      </c>
      <c r="D500" s="85">
        <v>31824368.550000001</v>
      </c>
      <c r="E500" s="85">
        <v>109819.6</v>
      </c>
      <c r="F500" s="95">
        <v>22744088.690000001</v>
      </c>
      <c r="G500" s="95">
        <f>+G501+G509+G510+G519</f>
        <v>0</v>
      </c>
      <c r="H500" s="95">
        <f>ROUND(+H501+H509+H510+H519,2)</f>
        <v>0</v>
      </c>
      <c r="I500" s="12">
        <f t="shared" si="1"/>
        <v>-9080279.8599999994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3" t="s">
        <v>239</v>
      </c>
      <c r="B501" s="14" t="s">
        <v>240</v>
      </c>
      <c r="C501" s="86">
        <v>12750000</v>
      </c>
      <c r="D501" s="86">
        <v>17407487.260000002</v>
      </c>
      <c r="E501" s="86">
        <v>0</v>
      </c>
      <c r="F501" s="96">
        <v>13878000</v>
      </c>
      <c r="G501" s="96">
        <f>+SUM(G502:G508)</f>
        <v>0</v>
      </c>
      <c r="H501" s="96">
        <f>ROUND(SUM(H502:H508),2)</f>
        <v>0</v>
      </c>
      <c r="I501" s="15">
        <f t="shared" si="1"/>
        <v>-3529487.2600000016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25" t="s">
        <v>241</v>
      </c>
      <c r="B502" s="26" t="s">
        <v>242</v>
      </c>
      <c r="C502" s="88">
        <v>1500000</v>
      </c>
      <c r="D502" s="88">
        <v>1008000</v>
      </c>
      <c r="E502" s="88"/>
      <c r="F502" s="98">
        <v>1000000</v>
      </c>
      <c r="G502" s="98"/>
      <c r="H502" s="98"/>
      <c r="I502" s="27">
        <f t="shared" si="1"/>
        <v>-8000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25" t="s">
        <v>243</v>
      </c>
      <c r="B503" s="26" t="s">
        <v>244</v>
      </c>
      <c r="C503" s="88">
        <v>200000</v>
      </c>
      <c r="D503" s="88">
        <v>337392</v>
      </c>
      <c r="E503" s="88"/>
      <c r="F503" s="98">
        <v>340000</v>
      </c>
      <c r="G503" s="98"/>
      <c r="H503" s="98"/>
      <c r="I503" s="27">
        <f t="shared" si="1"/>
        <v>2608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25" t="s">
        <v>245</v>
      </c>
      <c r="B504" s="26" t="s">
        <v>246</v>
      </c>
      <c r="C504" s="88">
        <v>0</v>
      </c>
      <c r="D504" s="88">
        <v>0</v>
      </c>
      <c r="E504" s="88"/>
      <c r="F504" s="98">
        <v>0</v>
      </c>
      <c r="G504" s="98"/>
      <c r="H504" s="98"/>
      <c r="I504" s="27">
        <f t="shared" si="1"/>
        <v>0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25" t="s">
        <v>247</v>
      </c>
      <c r="B505" s="26" t="s">
        <v>248</v>
      </c>
      <c r="C505" s="88">
        <v>11000000</v>
      </c>
      <c r="D505" s="88">
        <v>16024095.26</v>
      </c>
      <c r="E505" s="88"/>
      <c r="F505" s="98">
        <v>12500000</v>
      </c>
      <c r="G505" s="98"/>
      <c r="H505" s="98"/>
      <c r="I505" s="27">
        <f t="shared" si="1"/>
        <v>-3524095.26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25" t="s">
        <v>249</v>
      </c>
      <c r="B506" s="26" t="s">
        <v>250</v>
      </c>
      <c r="C506" s="88">
        <v>0</v>
      </c>
      <c r="D506" s="88">
        <v>0</v>
      </c>
      <c r="E506" s="88"/>
      <c r="F506" s="98">
        <v>0</v>
      </c>
      <c r="G506" s="98"/>
      <c r="H506" s="98"/>
      <c r="I506" s="27">
        <f t="shared" si="1"/>
        <v>0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25" t="s">
        <v>251</v>
      </c>
      <c r="B507" s="26" t="s">
        <v>252</v>
      </c>
      <c r="C507" s="88">
        <v>0</v>
      </c>
      <c r="D507" s="88">
        <v>0</v>
      </c>
      <c r="E507" s="88"/>
      <c r="F507" s="98">
        <v>0</v>
      </c>
      <c r="G507" s="98"/>
      <c r="H507" s="98"/>
      <c r="I507" s="27">
        <f t="shared" si="1"/>
        <v>0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25" t="s">
        <v>253</v>
      </c>
      <c r="B508" s="26" t="s">
        <v>254</v>
      </c>
      <c r="C508" s="88">
        <v>50000</v>
      </c>
      <c r="D508" s="88">
        <v>38000</v>
      </c>
      <c r="E508" s="88"/>
      <c r="F508" s="98">
        <v>38000</v>
      </c>
      <c r="G508" s="98"/>
      <c r="H508" s="98"/>
      <c r="I508" s="27">
        <f t="shared" si="1"/>
        <v>0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28" t="s">
        <v>255</v>
      </c>
      <c r="B509" s="29" t="s">
        <v>256</v>
      </c>
      <c r="C509" s="86">
        <v>38000</v>
      </c>
      <c r="D509" s="86">
        <v>35245.449999999997</v>
      </c>
      <c r="E509" s="86"/>
      <c r="F509" s="96">
        <v>35000</v>
      </c>
      <c r="G509" s="96"/>
      <c r="H509" s="96"/>
      <c r="I509" s="30">
        <f t="shared" si="1"/>
        <v>-245.44999999999709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3" t="s">
        <v>257</v>
      </c>
      <c r="B510" s="14" t="s">
        <v>258</v>
      </c>
      <c r="C510" s="86">
        <v>0</v>
      </c>
      <c r="D510" s="86">
        <v>1287745.02</v>
      </c>
      <c r="E510" s="86">
        <v>109819.6</v>
      </c>
      <c r="F510" s="96">
        <v>985732</v>
      </c>
      <c r="G510" s="96">
        <f>+G511+G512+G513+G516+G517+G518</f>
        <v>0</v>
      </c>
      <c r="H510" s="96">
        <f>ROUND(H511+H512+H513+H516+H517+H518,2)</f>
        <v>0</v>
      </c>
      <c r="I510" s="15">
        <f t="shared" si="1"/>
        <v>-302013.02</v>
      </c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25" t="s">
        <v>259</v>
      </c>
      <c r="B511" s="26" t="s">
        <v>260</v>
      </c>
      <c r="C511" s="88">
        <v>0</v>
      </c>
      <c r="D511" s="88">
        <v>694263.92</v>
      </c>
      <c r="E511" s="88"/>
      <c r="F511" s="98">
        <v>500000</v>
      </c>
      <c r="G511" s="98"/>
      <c r="H511" s="98"/>
      <c r="I511" s="27">
        <f t="shared" si="1"/>
        <v>-194263.92000000004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25" t="s">
        <v>261</v>
      </c>
      <c r="B512" s="26" t="s">
        <v>262</v>
      </c>
      <c r="C512" s="88">
        <v>0</v>
      </c>
      <c r="D512" s="88">
        <v>0</v>
      </c>
      <c r="E512" s="88"/>
      <c r="F512" s="98">
        <v>185732</v>
      </c>
      <c r="G512" s="98"/>
      <c r="H512" s="98"/>
      <c r="I512" s="27">
        <f t="shared" si="1"/>
        <v>185732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28" t="s">
        <v>263</v>
      </c>
      <c r="B513" s="29" t="s">
        <v>264</v>
      </c>
      <c r="C513" s="86">
        <v>0</v>
      </c>
      <c r="D513" s="86">
        <v>66140</v>
      </c>
      <c r="E513" s="86">
        <v>0</v>
      </c>
      <c r="F513" s="96">
        <v>0</v>
      </c>
      <c r="G513" s="96">
        <f>+G514+G515</f>
        <v>0</v>
      </c>
      <c r="H513" s="96">
        <f>ROUND(H514+H515,2)</f>
        <v>0</v>
      </c>
      <c r="I513" s="30">
        <f t="shared" si="1"/>
        <v>-66140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25" t="s">
        <v>265</v>
      </c>
      <c r="B514" s="26" t="s">
        <v>266</v>
      </c>
      <c r="C514" s="88">
        <v>0</v>
      </c>
      <c r="D514" s="88">
        <v>66140</v>
      </c>
      <c r="E514" s="88"/>
      <c r="F514" s="98">
        <v>0</v>
      </c>
      <c r="G514" s="98"/>
      <c r="H514" s="98"/>
      <c r="I514" s="27">
        <f t="shared" si="1"/>
        <v>-66140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25" t="s">
        <v>267</v>
      </c>
      <c r="B515" s="26" t="s">
        <v>268</v>
      </c>
      <c r="C515" s="88">
        <v>0</v>
      </c>
      <c r="D515" s="88">
        <v>0</v>
      </c>
      <c r="E515" s="88"/>
      <c r="F515" s="98">
        <v>0</v>
      </c>
      <c r="G515" s="98"/>
      <c r="H515" s="98"/>
      <c r="I515" s="27">
        <f t="shared" si="1"/>
        <v>0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25" t="s">
        <v>269</v>
      </c>
      <c r="B516" s="26" t="s">
        <v>270</v>
      </c>
      <c r="C516" s="88">
        <v>0</v>
      </c>
      <c r="D516" s="88">
        <v>251538.75</v>
      </c>
      <c r="E516" s="88"/>
      <c r="F516" s="98">
        <v>0</v>
      </c>
      <c r="G516" s="98"/>
      <c r="H516" s="98"/>
      <c r="I516" s="27">
        <f t="shared" si="1"/>
        <v>-251538.75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25" t="s">
        <v>271</v>
      </c>
      <c r="B517" s="26" t="s">
        <v>272</v>
      </c>
      <c r="C517" s="88">
        <v>0</v>
      </c>
      <c r="D517" s="88">
        <v>133169.15</v>
      </c>
      <c r="E517" s="88">
        <v>109819.6</v>
      </c>
      <c r="F517" s="98">
        <v>200000</v>
      </c>
      <c r="G517" s="98"/>
      <c r="H517" s="98"/>
      <c r="I517" s="27">
        <f t="shared" si="1"/>
        <v>66830.850000000006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25" t="s">
        <v>273</v>
      </c>
      <c r="B518" s="26" t="s">
        <v>274</v>
      </c>
      <c r="C518" s="88">
        <v>0</v>
      </c>
      <c r="D518" s="88">
        <v>142633.20000000001</v>
      </c>
      <c r="E518" s="88"/>
      <c r="F518" s="98">
        <v>100000</v>
      </c>
      <c r="G518" s="98"/>
      <c r="H518" s="98"/>
      <c r="I518" s="27">
        <f t="shared" ref="I518:I621" si="2">F518-D518</f>
        <v>-42633.200000000012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3" t="s">
        <v>275</v>
      </c>
      <c r="B519" s="14" t="s">
        <v>276</v>
      </c>
      <c r="C519" s="86">
        <v>10797670.939999999</v>
      </c>
      <c r="D519" s="86">
        <v>13093890.82</v>
      </c>
      <c r="E519" s="86">
        <v>0</v>
      </c>
      <c r="F519" s="96">
        <v>7845356.6900000004</v>
      </c>
      <c r="G519" s="96">
        <f>SUM(G520:G529)</f>
        <v>0</v>
      </c>
      <c r="H519" s="96">
        <f>ROUND(SUM(H520:H529),2)</f>
        <v>0</v>
      </c>
      <c r="I519" s="15">
        <f t="shared" si="2"/>
        <v>-5248534.13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25" t="s">
        <v>277</v>
      </c>
      <c r="B520" s="26" t="s">
        <v>278</v>
      </c>
      <c r="C520" s="88">
        <v>0</v>
      </c>
      <c r="D520" s="88">
        <v>0</v>
      </c>
      <c r="E520" s="88"/>
      <c r="F520" s="98">
        <v>0</v>
      </c>
      <c r="G520" s="98"/>
      <c r="H520" s="98"/>
      <c r="I520" s="27">
        <f t="shared" si="2"/>
        <v>0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25" t="s">
        <v>279</v>
      </c>
      <c r="B521" s="26" t="s">
        <v>280</v>
      </c>
      <c r="C521" s="88">
        <v>52229.39</v>
      </c>
      <c r="D521" s="88">
        <v>23628.62</v>
      </c>
      <c r="E521" s="88"/>
      <c r="F521" s="98">
        <v>13488.21</v>
      </c>
      <c r="G521" s="98"/>
      <c r="H521" s="98"/>
      <c r="I521" s="27">
        <f t="shared" si="2"/>
        <v>-10140.41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25" t="s">
        <v>281</v>
      </c>
      <c r="B522" s="26" t="s">
        <v>282</v>
      </c>
      <c r="C522" s="88">
        <v>2388657.71</v>
      </c>
      <c r="D522" s="88">
        <v>2268302.12</v>
      </c>
      <c r="E522" s="88"/>
      <c r="F522" s="98">
        <v>1773320.12</v>
      </c>
      <c r="G522" s="98"/>
      <c r="H522" s="98"/>
      <c r="I522" s="27">
        <f t="shared" si="2"/>
        <v>-494982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25" t="s">
        <v>283</v>
      </c>
      <c r="B523" s="26" t="s">
        <v>284</v>
      </c>
      <c r="C523" s="88">
        <v>56158.04</v>
      </c>
      <c r="D523" s="88">
        <v>225086.12</v>
      </c>
      <c r="E523" s="88"/>
      <c r="F523" s="98">
        <v>155934.69</v>
      </c>
      <c r="G523" s="98"/>
      <c r="H523" s="98"/>
      <c r="I523" s="27">
        <f t="shared" si="2"/>
        <v>-69151.429999999993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25" t="s">
        <v>285</v>
      </c>
      <c r="B524" s="26" t="s">
        <v>286</v>
      </c>
      <c r="C524" s="88">
        <v>6360625.7999999998</v>
      </c>
      <c r="D524" s="88">
        <v>7230157.2000000002</v>
      </c>
      <c r="E524" s="88"/>
      <c r="F524" s="98">
        <v>2592613.67</v>
      </c>
      <c r="G524" s="98"/>
      <c r="H524" s="98"/>
      <c r="I524" s="27">
        <f t="shared" si="2"/>
        <v>-4637543.53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25" t="s">
        <v>287</v>
      </c>
      <c r="B525" s="26" t="s">
        <v>288</v>
      </c>
      <c r="C525" s="88">
        <v>0</v>
      </c>
      <c r="D525" s="88">
        <v>0</v>
      </c>
      <c r="E525" s="88"/>
      <c r="F525" s="98">
        <v>0</v>
      </c>
      <c r="G525" s="98"/>
      <c r="H525" s="98"/>
      <c r="I525" s="27">
        <f t="shared" si="2"/>
        <v>0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25" t="s">
        <v>289</v>
      </c>
      <c r="B526" s="26" t="s">
        <v>290</v>
      </c>
      <c r="C526" s="88">
        <v>0</v>
      </c>
      <c r="D526" s="88">
        <v>0</v>
      </c>
      <c r="E526" s="88"/>
      <c r="F526" s="98">
        <v>0</v>
      </c>
      <c r="G526" s="98"/>
      <c r="H526" s="98"/>
      <c r="I526" s="27">
        <f t="shared" si="2"/>
        <v>0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25" t="s">
        <v>291</v>
      </c>
      <c r="B527" s="26" t="s">
        <v>292</v>
      </c>
      <c r="C527" s="88">
        <v>0</v>
      </c>
      <c r="D527" s="88">
        <v>0</v>
      </c>
      <c r="E527" s="88"/>
      <c r="F527" s="98">
        <v>0</v>
      </c>
      <c r="G527" s="98"/>
      <c r="H527" s="98"/>
      <c r="I527" s="27">
        <f t="shared" si="2"/>
        <v>0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25" t="s">
        <v>293</v>
      </c>
      <c r="B528" s="26" t="s">
        <v>294</v>
      </c>
      <c r="C528" s="88">
        <v>1500000</v>
      </c>
      <c r="D528" s="88">
        <v>2835814.25</v>
      </c>
      <c r="E528" s="88"/>
      <c r="F528" s="98">
        <v>2800000</v>
      </c>
      <c r="G528" s="98"/>
      <c r="H528" s="98"/>
      <c r="I528" s="27">
        <f t="shared" si="2"/>
        <v>-35814.25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25" t="s">
        <v>295</v>
      </c>
      <c r="B529" s="26" t="s">
        <v>296</v>
      </c>
      <c r="C529" s="88">
        <v>440000</v>
      </c>
      <c r="D529" s="88">
        <v>510902.51</v>
      </c>
      <c r="E529" s="88"/>
      <c r="F529" s="98">
        <v>510000</v>
      </c>
      <c r="G529" s="98"/>
      <c r="H529" s="98"/>
      <c r="I529" s="27">
        <f t="shared" si="2"/>
        <v>-902.51000000000931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0" t="s">
        <v>297</v>
      </c>
      <c r="B530" s="11" t="s">
        <v>298</v>
      </c>
      <c r="C530" s="85">
        <v>-50000</v>
      </c>
      <c r="D530" s="85">
        <v>-77962.679999999993</v>
      </c>
      <c r="E530" s="85">
        <v>0</v>
      </c>
      <c r="F530" s="95">
        <v>-50000</v>
      </c>
      <c r="G530" s="95">
        <f>+G531+G535-G541-G545</f>
        <v>0</v>
      </c>
      <c r="H530" s="95">
        <f>ROUND(H531+H535-H541-H545,2)</f>
        <v>0</v>
      </c>
      <c r="I530" s="12">
        <f t="shared" si="2"/>
        <v>27962.679999999993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0" t="s">
        <v>299</v>
      </c>
      <c r="B531" s="11" t="s">
        <v>300</v>
      </c>
      <c r="C531" s="85">
        <v>0</v>
      </c>
      <c r="D531" s="85">
        <v>0.51</v>
      </c>
      <c r="E531" s="85">
        <v>0</v>
      </c>
      <c r="F531" s="95">
        <v>0</v>
      </c>
      <c r="G531" s="95">
        <f>+G532+G533+G534</f>
        <v>0</v>
      </c>
      <c r="H531" s="95">
        <f>ROUND(+H532+H533+H534,2)</f>
        <v>0</v>
      </c>
      <c r="I531" s="12">
        <f t="shared" si="2"/>
        <v>-0.51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25" t="s">
        <v>301</v>
      </c>
      <c r="B532" s="26" t="s">
        <v>302</v>
      </c>
      <c r="C532" s="88">
        <v>0</v>
      </c>
      <c r="D532" s="88">
        <v>0.51</v>
      </c>
      <c r="E532" s="88"/>
      <c r="F532" s="98">
        <v>0</v>
      </c>
      <c r="G532" s="98"/>
      <c r="H532" s="98"/>
      <c r="I532" s="27">
        <f t="shared" si="2"/>
        <v>-0.51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25" t="s">
        <v>303</v>
      </c>
      <c r="B533" s="26" t="s">
        <v>304</v>
      </c>
      <c r="C533" s="88">
        <v>0</v>
      </c>
      <c r="D533" s="88">
        <v>0</v>
      </c>
      <c r="E533" s="88"/>
      <c r="F533" s="98">
        <v>0</v>
      </c>
      <c r="G533" s="98"/>
      <c r="H533" s="98"/>
      <c r="I533" s="27">
        <f t="shared" si="2"/>
        <v>0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25" t="s">
        <v>305</v>
      </c>
      <c r="B534" s="26" t="s">
        <v>306</v>
      </c>
      <c r="C534" s="88">
        <v>0</v>
      </c>
      <c r="D534" s="88">
        <v>0</v>
      </c>
      <c r="E534" s="88"/>
      <c r="F534" s="98">
        <v>0</v>
      </c>
      <c r="G534" s="98"/>
      <c r="H534" s="98"/>
      <c r="I534" s="27">
        <f t="shared" si="2"/>
        <v>0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0" t="s">
        <v>307</v>
      </c>
      <c r="B535" s="11" t="s">
        <v>308</v>
      </c>
      <c r="C535" s="85">
        <v>0</v>
      </c>
      <c r="D535" s="85">
        <v>0</v>
      </c>
      <c r="E535" s="85">
        <v>0</v>
      </c>
      <c r="F535" s="95">
        <v>0</v>
      </c>
      <c r="G535" s="95">
        <f>+G536+G537+G538+G539+G540</f>
        <v>0</v>
      </c>
      <c r="H535" s="95">
        <f>ROUND(SUM(H536:H540),2)</f>
        <v>0</v>
      </c>
      <c r="I535" s="12">
        <f t="shared" si="2"/>
        <v>0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25" t="s">
        <v>309</v>
      </c>
      <c r="B536" s="26" t="s">
        <v>310</v>
      </c>
      <c r="C536" s="88">
        <v>0</v>
      </c>
      <c r="D536" s="88">
        <v>0</v>
      </c>
      <c r="E536" s="88"/>
      <c r="F536" s="98">
        <v>0</v>
      </c>
      <c r="G536" s="98"/>
      <c r="H536" s="98"/>
      <c r="I536" s="27">
        <f t="shared" si="2"/>
        <v>0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25" t="s">
        <v>311</v>
      </c>
      <c r="B537" s="26" t="s">
        <v>312</v>
      </c>
      <c r="C537" s="88">
        <v>0</v>
      </c>
      <c r="D537" s="88">
        <v>0</v>
      </c>
      <c r="E537" s="88"/>
      <c r="F537" s="98">
        <v>0</v>
      </c>
      <c r="G537" s="98"/>
      <c r="H537" s="98"/>
      <c r="I537" s="27">
        <f t="shared" si="2"/>
        <v>0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25" t="s">
        <v>313</v>
      </c>
      <c r="B538" s="26" t="s">
        <v>314</v>
      </c>
      <c r="C538" s="88">
        <v>0</v>
      </c>
      <c r="D538" s="88">
        <v>0</v>
      </c>
      <c r="E538" s="88"/>
      <c r="F538" s="98">
        <v>0</v>
      </c>
      <c r="G538" s="98"/>
      <c r="H538" s="98"/>
      <c r="I538" s="27">
        <f t="shared" si="2"/>
        <v>0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25" t="s">
        <v>315</v>
      </c>
      <c r="B539" s="26" t="s">
        <v>316</v>
      </c>
      <c r="C539" s="88">
        <v>0</v>
      </c>
      <c r="D539" s="88">
        <v>0</v>
      </c>
      <c r="E539" s="88"/>
      <c r="F539" s="98">
        <v>0</v>
      </c>
      <c r="G539" s="98"/>
      <c r="H539" s="98"/>
      <c r="I539" s="27">
        <f t="shared" si="2"/>
        <v>0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25" t="s">
        <v>317</v>
      </c>
      <c r="B540" s="26" t="s">
        <v>318</v>
      </c>
      <c r="C540" s="88">
        <v>0</v>
      </c>
      <c r="D540" s="88">
        <v>0</v>
      </c>
      <c r="E540" s="88"/>
      <c r="F540" s="98">
        <v>0</v>
      </c>
      <c r="G540" s="98"/>
      <c r="H540" s="98"/>
      <c r="I540" s="27">
        <f t="shared" si="2"/>
        <v>0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0" t="s">
        <v>319</v>
      </c>
      <c r="B541" s="11" t="s">
        <v>320</v>
      </c>
      <c r="C541" s="85">
        <v>50000</v>
      </c>
      <c r="D541" s="85">
        <v>77963.19</v>
      </c>
      <c r="E541" s="85">
        <v>0</v>
      </c>
      <c r="F541" s="95">
        <v>50000</v>
      </c>
      <c r="G541" s="95">
        <f>+G542+G543+G544</f>
        <v>0</v>
      </c>
      <c r="H541" s="95">
        <f>ROUND(SUM(H542:H544),2)</f>
        <v>0</v>
      </c>
      <c r="I541" s="12">
        <f t="shared" si="2"/>
        <v>-27963.190000000002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25" t="s">
        <v>321</v>
      </c>
      <c r="B542" s="26" t="s">
        <v>322</v>
      </c>
      <c r="C542" s="88">
        <v>0</v>
      </c>
      <c r="D542" s="88">
        <v>0</v>
      </c>
      <c r="E542" s="88"/>
      <c r="F542" s="98">
        <v>0</v>
      </c>
      <c r="G542" s="98"/>
      <c r="H542" s="98"/>
      <c r="I542" s="27">
        <f t="shared" si="2"/>
        <v>0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25" t="s">
        <v>323</v>
      </c>
      <c r="B543" s="26" t="s">
        <v>324</v>
      </c>
      <c r="C543" s="88">
        <v>0</v>
      </c>
      <c r="D543" s="88">
        <v>0</v>
      </c>
      <c r="E543" s="88"/>
      <c r="F543" s="98">
        <v>0</v>
      </c>
      <c r="G543" s="98"/>
      <c r="H543" s="98"/>
      <c r="I543" s="27">
        <f t="shared" si="2"/>
        <v>0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25" t="s">
        <v>325</v>
      </c>
      <c r="B544" s="26" t="s">
        <v>326</v>
      </c>
      <c r="C544" s="88">
        <v>50000</v>
      </c>
      <c r="D544" s="88">
        <v>77963.19</v>
      </c>
      <c r="E544" s="88"/>
      <c r="F544" s="98">
        <v>50000</v>
      </c>
      <c r="G544" s="98"/>
      <c r="H544" s="98"/>
      <c r="I544" s="27">
        <f t="shared" si="2"/>
        <v>-27963.190000000002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0" t="s">
        <v>327</v>
      </c>
      <c r="B545" s="11" t="s">
        <v>328</v>
      </c>
      <c r="C545" s="85">
        <v>0</v>
      </c>
      <c r="D545" s="85">
        <v>0</v>
      </c>
      <c r="E545" s="85">
        <v>0</v>
      </c>
      <c r="F545" s="95">
        <v>0</v>
      </c>
      <c r="G545" s="95">
        <f>+G546+G547</f>
        <v>0</v>
      </c>
      <c r="H545" s="95">
        <f>ROUND(SUM(H546:H547),2)</f>
        <v>0</v>
      </c>
      <c r="I545" s="12">
        <f t="shared" si="2"/>
        <v>0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25" t="s">
        <v>329</v>
      </c>
      <c r="B546" s="26" t="s">
        <v>330</v>
      </c>
      <c r="C546" s="88">
        <v>0</v>
      </c>
      <c r="D546" s="88">
        <v>0</v>
      </c>
      <c r="E546" s="88"/>
      <c r="F546" s="98">
        <v>0</v>
      </c>
      <c r="G546" s="98"/>
      <c r="H546" s="98"/>
      <c r="I546" s="27">
        <f t="shared" si="2"/>
        <v>0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25" t="s">
        <v>331</v>
      </c>
      <c r="B547" s="26" t="s">
        <v>332</v>
      </c>
      <c r="C547" s="88">
        <v>0</v>
      </c>
      <c r="D547" s="88">
        <v>0</v>
      </c>
      <c r="E547" s="88"/>
      <c r="F547" s="98">
        <v>0</v>
      </c>
      <c r="G547" s="98"/>
      <c r="H547" s="98"/>
      <c r="I547" s="27">
        <f t="shared" si="2"/>
        <v>0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0" t="s">
        <v>333</v>
      </c>
      <c r="B548" s="11" t="s">
        <v>334</v>
      </c>
      <c r="C548" s="85">
        <v>0</v>
      </c>
      <c r="D548" s="85">
        <v>0</v>
      </c>
      <c r="E548" s="85">
        <v>0</v>
      </c>
      <c r="F548" s="95">
        <v>0</v>
      </c>
      <c r="G548" s="95">
        <f>+G549-G550</f>
        <v>0</v>
      </c>
      <c r="H548" s="95">
        <f>ROUND(H549-H550,2)</f>
        <v>0</v>
      </c>
      <c r="I548" s="12">
        <f t="shared" si="2"/>
        <v>0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40" t="s">
        <v>335</v>
      </c>
      <c r="B549" s="55" t="s">
        <v>336</v>
      </c>
      <c r="C549" s="85">
        <v>0</v>
      </c>
      <c r="D549" s="85">
        <v>0</v>
      </c>
      <c r="E549" s="85"/>
      <c r="F549" s="95">
        <v>0</v>
      </c>
      <c r="G549" s="95"/>
      <c r="H549" s="95"/>
      <c r="I549" s="41">
        <f t="shared" si="2"/>
        <v>0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40" t="s">
        <v>337</v>
      </c>
      <c r="B550" s="55" t="s">
        <v>338</v>
      </c>
      <c r="C550" s="85">
        <v>0</v>
      </c>
      <c r="D550" s="85">
        <v>0</v>
      </c>
      <c r="E550" s="85"/>
      <c r="F550" s="95">
        <v>0</v>
      </c>
      <c r="G550" s="95"/>
      <c r="H550" s="95"/>
      <c r="I550" s="41">
        <f t="shared" si="2"/>
        <v>0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0" t="s">
        <v>339</v>
      </c>
      <c r="B551" s="11" t="s">
        <v>340</v>
      </c>
      <c r="C551" s="85">
        <v>0</v>
      </c>
      <c r="D551" s="85">
        <v>-2707455.04</v>
      </c>
      <c r="E551" s="85">
        <v>3660</v>
      </c>
      <c r="F551" s="95">
        <v>-482085.44</v>
      </c>
      <c r="G551" s="95">
        <f>+G552-G580</f>
        <v>0</v>
      </c>
      <c r="H551" s="95">
        <f>ROUND(H552-H580,2)</f>
        <v>0</v>
      </c>
      <c r="I551" s="12">
        <f t="shared" si="2"/>
        <v>2225369.6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0" t="s">
        <v>341</v>
      </c>
      <c r="B552" s="11" t="s">
        <v>342</v>
      </c>
      <c r="C552" s="85">
        <v>0</v>
      </c>
      <c r="D552" s="85">
        <v>2398807.0699999998</v>
      </c>
      <c r="E552" s="85">
        <v>3660</v>
      </c>
      <c r="F552" s="95">
        <v>1810031.25</v>
      </c>
      <c r="G552" s="95">
        <f>+G553+G554</f>
        <v>0</v>
      </c>
      <c r="H552" s="95">
        <f>ROUND(+H553+H554,2)</f>
        <v>0</v>
      </c>
      <c r="I552" s="12">
        <f t="shared" si="2"/>
        <v>-588775.81999999983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28" t="s">
        <v>343</v>
      </c>
      <c r="B553" s="29" t="s">
        <v>344</v>
      </c>
      <c r="C553" s="86">
        <v>0</v>
      </c>
      <c r="D553" s="86">
        <v>0</v>
      </c>
      <c r="E553" s="86"/>
      <c r="F553" s="96">
        <v>0</v>
      </c>
      <c r="G553" s="96"/>
      <c r="H553" s="96"/>
      <c r="I553" s="30">
        <f t="shared" si="2"/>
        <v>0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3" t="s">
        <v>345</v>
      </c>
      <c r="B554" s="14" t="s">
        <v>346</v>
      </c>
      <c r="C554" s="86">
        <v>0</v>
      </c>
      <c r="D554" s="86">
        <v>2398807.0699999998</v>
      </c>
      <c r="E554" s="86">
        <v>3660</v>
      </c>
      <c r="F554" s="96">
        <v>1810031.25</v>
      </c>
      <c r="G554" s="96">
        <f>+G555+G556+G569+G579</f>
        <v>0</v>
      </c>
      <c r="H554" s="96">
        <f>ROUND(+H555+H556+H569+H579,2)</f>
        <v>0</v>
      </c>
      <c r="I554" s="15">
        <f t="shared" si="2"/>
        <v>-588775.81999999983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28" t="s">
        <v>347</v>
      </c>
      <c r="B555" s="29" t="s">
        <v>348</v>
      </c>
      <c r="C555" s="86">
        <v>0</v>
      </c>
      <c r="D555" s="86">
        <v>7149.81</v>
      </c>
      <c r="E555" s="86">
        <v>3660</v>
      </c>
      <c r="F555" s="96">
        <v>39450</v>
      </c>
      <c r="G555" s="96"/>
      <c r="H555" s="96"/>
      <c r="I555" s="30">
        <f t="shared" si="2"/>
        <v>32300.19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28" t="s">
        <v>349</v>
      </c>
      <c r="B556" s="29" t="s">
        <v>350</v>
      </c>
      <c r="C556" s="86">
        <v>0</v>
      </c>
      <c r="D556" s="86">
        <v>2390602.5</v>
      </c>
      <c r="E556" s="86">
        <v>0</v>
      </c>
      <c r="F556" s="96">
        <v>1770581.25</v>
      </c>
      <c r="G556" s="96">
        <f>+G557+G558+G561</f>
        <v>0</v>
      </c>
      <c r="H556" s="96">
        <f>ROUND(+H557+H558+H561,2)</f>
        <v>0</v>
      </c>
      <c r="I556" s="30">
        <f t="shared" si="2"/>
        <v>-620021.25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25" t="s">
        <v>351</v>
      </c>
      <c r="B557" s="26" t="s">
        <v>352</v>
      </c>
      <c r="C557" s="88">
        <v>0</v>
      </c>
      <c r="D557" s="88">
        <v>0</v>
      </c>
      <c r="E557" s="88"/>
      <c r="F557" s="98">
        <v>0</v>
      </c>
      <c r="G557" s="98"/>
      <c r="H557" s="98"/>
      <c r="I557" s="27">
        <f t="shared" si="2"/>
        <v>0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28" t="s">
        <v>353</v>
      </c>
      <c r="B558" s="29" t="s">
        <v>354</v>
      </c>
      <c r="C558" s="86">
        <v>0</v>
      </c>
      <c r="D558" s="86">
        <v>433.5</v>
      </c>
      <c r="E558" s="86">
        <v>0</v>
      </c>
      <c r="F558" s="96">
        <v>248844.64</v>
      </c>
      <c r="G558" s="96">
        <f>+G559+G560</f>
        <v>0</v>
      </c>
      <c r="H558" s="96">
        <f>ROUND(H559+H560,2)</f>
        <v>0</v>
      </c>
      <c r="I558" s="30">
        <f t="shared" si="2"/>
        <v>248411.14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48" t="s">
        <v>355</v>
      </c>
      <c r="B559" s="49" t="s">
        <v>356</v>
      </c>
      <c r="C559" s="87">
        <v>0</v>
      </c>
      <c r="D559" s="87">
        <v>0</v>
      </c>
      <c r="E559" s="87"/>
      <c r="F559" s="97">
        <v>0</v>
      </c>
      <c r="G559" s="97"/>
      <c r="H559" s="97"/>
      <c r="I559" s="36">
        <f t="shared" si="2"/>
        <v>0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48" t="s">
        <v>357</v>
      </c>
      <c r="B560" s="49" t="s">
        <v>358</v>
      </c>
      <c r="C560" s="87">
        <v>0</v>
      </c>
      <c r="D560" s="87">
        <v>433.5</v>
      </c>
      <c r="E560" s="87"/>
      <c r="F560" s="97">
        <v>248844.64</v>
      </c>
      <c r="G560" s="97"/>
      <c r="H560" s="97"/>
      <c r="I560" s="36">
        <f t="shared" si="2"/>
        <v>248411.14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28" t="s">
        <v>359</v>
      </c>
      <c r="B561" s="29" t="s">
        <v>360</v>
      </c>
      <c r="C561" s="86">
        <v>0</v>
      </c>
      <c r="D561" s="86">
        <v>2390169</v>
      </c>
      <c r="E561" s="86">
        <v>0</v>
      </c>
      <c r="F561" s="96">
        <v>1521736.61</v>
      </c>
      <c r="G561" s="96">
        <f>+G562+G563+G564+G565+G566+G567+G568</f>
        <v>0</v>
      </c>
      <c r="H561" s="96">
        <f>ROUND(SUM(H562:H568),2)</f>
        <v>0</v>
      </c>
      <c r="I561" s="30">
        <f t="shared" si="2"/>
        <v>-868432.3899999999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37" t="s">
        <v>361</v>
      </c>
      <c r="B562" s="38" t="s">
        <v>362</v>
      </c>
      <c r="C562" s="87">
        <v>0</v>
      </c>
      <c r="D562" s="87">
        <v>0</v>
      </c>
      <c r="E562" s="87"/>
      <c r="F562" s="97">
        <v>0</v>
      </c>
      <c r="G562" s="97"/>
      <c r="H562" s="97"/>
      <c r="I562" s="39">
        <f t="shared" si="2"/>
        <v>0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37" t="s">
        <v>363</v>
      </c>
      <c r="B563" s="38" t="s">
        <v>364</v>
      </c>
      <c r="C563" s="87">
        <v>0</v>
      </c>
      <c r="D563" s="87">
        <v>0</v>
      </c>
      <c r="E563" s="87"/>
      <c r="F563" s="97">
        <v>0</v>
      </c>
      <c r="G563" s="97"/>
      <c r="H563" s="97"/>
      <c r="I563" s="39">
        <f t="shared" si="2"/>
        <v>0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37" t="s">
        <v>365</v>
      </c>
      <c r="B564" s="38" t="s">
        <v>366</v>
      </c>
      <c r="C564" s="87">
        <v>0</v>
      </c>
      <c r="D564" s="87">
        <v>0</v>
      </c>
      <c r="E564" s="87"/>
      <c r="F564" s="97">
        <v>0</v>
      </c>
      <c r="G564" s="97"/>
      <c r="H564" s="97"/>
      <c r="I564" s="39">
        <f t="shared" si="2"/>
        <v>0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37" t="s">
        <v>367</v>
      </c>
      <c r="B565" s="38" t="s">
        <v>368</v>
      </c>
      <c r="C565" s="87">
        <v>0</v>
      </c>
      <c r="D565" s="87">
        <v>0</v>
      </c>
      <c r="E565" s="87"/>
      <c r="F565" s="97">
        <v>0</v>
      </c>
      <c r="G565" s="97"/>
      <c r="H565" s="97"/>
      <c r="I565" s="39">
        <f t="shared" si="2"/>
        <v>0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37" t="s">
        <v>369</v>
      </c>
      <c r="B566" s="38" t="s">
        <v>370</v>
      </c>
      <c r="C566" s="87">
        <v>0</v>
      </c>
      <c r="D566" s="87">
        <v>11776.9</v>
      </c>
      <c r="E566" s="87"/>
      <c r="F566" s="97">
        <v>106307.78</v>
      </c>
      <c r="G566" s="97"/>
      <c r="H566" s="97"/>
      <c r="I566" s="39">
        <f t="shared" si="2"/>
        <v>94530.880000000005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37" t="s">
        <v>371</v>
      </c>
      <c r="B567" s="38" t="s">
        <v>372</v>
      </c>
      <c r="C567" s="87">
        <v>0</v>
      </c>
      <c r="D567" s="87">
        <v>1335084.8899999999</v>
      </c>
      <c r="E567" s="87"/>
      <c r="F567" s="97">
        <v>378618.42</v>
      </c>
      <c r="G567" s="97"/>
      <c r="H567" s="97"/>
      <c r="I567" s="39">
        <f t="shared" si="2"/>
        <v>-956466.47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37" t="s">
        <v>373</v>
      </c>
      <c r="B568" s="38" t="s">
        <v>374</v>
      </c>
      <c r="C568" s="87">
        <v>0</v>
      </c>
      <c r="D568" s="87">
        <v>1043307.21</v>
      </c>
      <c r="E568" s="87"/>
      <c r="F568" s="97">
        <v>1036810.41</v>
      </c>
      <c r="G568" s="97"/>
      <c r="H568" s="97"/>
      <c r="I568" s="39">
        <f t="shared" si="2"/>
        <v>-6496.7999999999302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28" t="s">
        <v>375</v>
      </c>
      <c r="B569" s="29" t="s">
        <v>376</v>
      </c>
      <c r="C569" s="86">
        <v>0</v>
      </c>
      <c r="D569" s="86">
        <v>0</v>
      </c>
      <c r="E569" s="86">
        <v>0</v>
      </c>
      <c r="F569" s="96">
        <v>0</v>
      </c>
      <c r="G569" s="96">
        <f>+G570+G571</f>
        <v>0</v>
      </c>
      <c r="H569" s="96">
        <f>ROUND(+H570+H571,2)</f>
        <v>0</v>
      </c>
      <c r="I569" s="30">
        <f t="shared" si="2"/>
        <v>0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48" t="s">
        <v>377</v>
      </c>
      <c r="B570" s="49" t="s">
        <v>378</v>
      </c>
      <c r="C570" s="87">
        <v>0</v>
      </c>
      <c r="D570" s="87">
        <v>0</v>
      </c>
      <c r="E570" s="87"/>
      <c r="F570" s="97">
        <v>0</v>
      </c>
      <c r="G570" s="97"/>
      <c r="H570" s="97"/>
      <c r="I570" s="36">
        <f t="shared" si="2"/>
        <v>0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28" t="s">
        <v>379</v>
      </c>
      <c r="B571" s="29" t="s">
        <v>380</v>
      </c>
      <c r="C571" s="86">
        <v>0</v>
      </c>
      <c r="D571" s="86">
        <v>0</v>
      </c>
      <c r="E571" s="86">
        <v>0</v>
      </c>
      <c r="F571" s="96">
        <v>0</v>
      </c>
      <c r="G571" s="96">
        <f>+G572+G573+G574+G575+G576+G577+G578</f>
        <v>0</v>
      </c>
      <c r="H571" s="96">
        <f>ROUND(SUM(H572:H578),2)</f>
        <v>0</v>
      </c>
      <c r="I571" s="30">
        <f t="shared" si="2"/>
        <v>0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64" t="s">
        <v>381</v>
      </c>
      <c r="B572" s="65" t="s">
        <v>382</v>
      </c>
      <c r="C572" s="87">
        <v>0</v>
      </c>
      <c r="D572" s="87">
        <v>0</v>
      </c>
      <c r="E572" s="87"/>
      <c r="F572" s="97">
        <v>0</v>
      </c>
      <c r="G572" s="97"/>
      <c r="H572" s="97"/>
      <c r="I572" s="66">
        <f t="shared" si="2"/>
        <v>0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64" t="s">
        <v>383</v>
      </c>
      <c r="B573" s="65" t="s">
        <v>384</v>
      </c>
      <c r="C573" s="87">
        <v>0</v>
      </c>
      <c r="D573" s="87">
        <v>0</v>
      </c>
      <c r="E573" s="87"/>
      <c r="F573" s="97">
        <v>0</v>
      </c>
      <c r="G573" s="97"/>
      <c r="H573" s="97"/>
      <c r="I573" s="66">
        <f t="shared" si="2"/>
        <v>0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64" t="s">
        <v>385</v>
      </c>
      <c r="B574" s="65" t="s">
        <v>386</v>
      </c>
      <c r="C574" s="87">
        <v>0</v>
      </c>
      <c r="D574" s="87">
        <v>0</v>
      </c>
      <c r="E574" s="87"/>
      <c r="F574" s="97">
        <v>0</v>
      </c>
      <c r="G574" s="97"/>
      <c r="H574" s="97"/>
      <c r="I574" s="66">
        <f t="shared" si="2"/>
        <v>0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64" t="s">
        <v>387</v>
      </c>
      <c r="B575" s="65" t="s">
        <v>388</v>
      </c>
      <c r="C575" s="87">
        <v>0</v>
      </c>
      <c r="D575" s="87">
        <v>0</v>
      </c>
      <c r="E575" s="87"/>
      <c r="F575" s="97">
        <v>0</v>
      </c>
      <c r="G575" s="97"/>
      <c r="H575" s="97"/>
      <c r="I575" s="66">
        <f t="shared" si="2"/>
        <v>0</v>
      </c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64" t="s">
        <v>389</v>
      </c>
      <c r="B576" s="65" t="s">
        <v>390</v>
      </c>
      <c r="C576" s="87">
        <v>0</v>
      </c>
      <c r="D576" s="87">
        <v>0</v>
      </c>
      <c r="E576" s="87"/>
      <c r="F576" s="97">
        <v>0</v>
      </c>
      <c r="G576" s="97"/>
      <c r="H576" s="97"/>
      <c r="I576" s="66">
        <f t="shared" si="2"/>
        <v>0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64" t="s">
        <v>391</v>
      </c>
      <c r="B577" s="65" t="s">
        <v>392</v>
      </c>
      <c r="C577" s="87">
        <v>0</v>
      </c>
      <c r="D577" s="87">
        <v>0</v>
      </c>
      <c r="E577" s="87"/>
      <c r="F577" s="97">
        <v>0</v>
      </c>
      <c r="G577" s="97"/>
      <c r="H577" s="97"/>
      <c r="I577" s="66">
        <f t="shared" si="2"/>
        <v>0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37" t="s">
        <v>393</v>
      </c>
      <c r="B578" s="38" t="s">
        <v>394</v>
      </c>
      <c r="C578" s="87">
        <v>0</v>
      </c>
      <c r="D578" s="87">
        <v>0</v>
      </c>
      <c r="E578" s="87"/>
      <c r="F578" s="97">
        <v>0</v>
      </c>
      <c r="G578" s="97"/>
      <c r="H578" s="97"/>
      <c r="I578" s="39">
        <f t="shared" si="2"/>
        <v>0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28" t="s">
        <v>395</v>
      </c>
      <c r="B579" s="29" t="s">
        <v>396</v>
      </c>
      <c r="C579" s="86">
        <v>0</v>
      </c>
      <c r="D579" s="86">
        <v>1054.76</v>
      </c>
      <c r="E579" s="86"/>
      <c r="F579" s="96">
        <v>0</v>
      </c>
      <c r="G579" s="96"/>
      <c r="H579" s="96"/>
      <c r="I579" s="30">
        <f t="shared" si="2"/>
        <v>-1054.76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0" t="s">
        <v>397</v>
      </c>
      <c r="B580" s="11" t="s">
        <v>398</v>
      </c>
      <c r="C580" s="85">
        <v>0</v>
      </c>
      <c r="D580" s="85">
        <v>5106262.1100000003</v>
      </c>
      <c r="E580" s="85">
        <v>0</v>
      </c>
      <c r="F580" s="95">
        <v>2292116.69</v>
      </c>
      <c r="G580" s="95">
        <f>+G581+G582</f>
        <v>0</v>
      </c>
      <c r="H580" s="95">
        <f>ROUND(+H581+H582,2)</f>
        <v>0</v>
      </c>
      <c r="I580" s="12">
        <f t="shared" si="2"/>
        <v>-2814145.4200000004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28" t="s">
        <v>399</v>
      </c>
      <c r="B581" s="29" t="s">
        <v>400</v>
      </c>
      <c r="C581" s="86">
        <v>0</v>
      </c>
      <c r="D581" s="86">
        <v>2034.55</v>
      </c>
      <c r="E581" s="86"/>
      <c r="F581" s="96">
        <v>0</v>
      </c>
      <c r="G581" s="96"/>
      <c r="H581" s="96"/>
      <c r="I581" s="30">
        <f t="shared" si="2"/>
        <v>-2034.55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3" t="s">
        <v>401</v>
      </c>
      <c r="B582" s="14" t="s">
        <v>402</v>
      </c>
      <c r="C582" s="86">
        <v>0</v>
      </c>
      <c r="D582" s="86">
        <v>5104227.5599999996</v>
      </c>
      <c r="E582" s="86">
        <v>0</v>
      </c>
      <c r="F582" s="96">
        <v>2292116.69</v>
      </c>
      <c r="G582" s="96">
        <f>+G583+G584+G585+G600+G611</f>
        <v>0</v>
      </c>
      <c r="H582" s="96">
        <f>ROUND(+H583+H584+H585+H600+H611,2)</f>
        <v>0</v>
      </c>
      <c r="I582" s="15">
        <f t="shared" si="2"/>
        <v>-2812110.8699999996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28" t="s">
        <v>403</v>
      </c>
      <c r="B583" s="29" t="s">
        <v>404</v>
      </c>
      <c r="C583" s="86">
        <v>0</v>
      </c>
      <c r="D583" s="86">
        <v>0</v>
      </c>
      <c r="E583" s="86"/>
      <c r="F583" s="96">
        <v>43</v>
      </c>
      <c r="G583" s="96"/>
      <c r="H583" s="96"/>
      <c r="I583" s="30">
        <f t="shared" si="2"/>
        <v>43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28" t="s">
        <v>405</v>
      </c>
      <c r="B584" s="29" t="s">
        <v>406</v>
      </c>
      <c r="C584" s="86">
        <v>0</v>
      </c>
      <c r="D584" s="86">
        <v>0</v>
      </c>
      <c r="E584" s="86"/>
      <c r="F584" s="96">
        <v>1226160.44</v>
      </c>
      <c r="G584" s="96"/>
      <c r="H584" s="96"/>
      <c r="I584" s="30">
        <f t="shared" si="2"/>
        <v>1226160.44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28" t="s">
        <v>407</v>
      </c>
      <c r="B585" s="29" t="s">
        <v>408</v>
      </c>
      <c r="C585" s="86">
        <v>0</v>
      </c>
      <c r="D585" s="86">
        <v>5104227.5599999996</v>
      </c>
      <c r="E585" s="86">
        <v>0</v>
      </c>
      <c r="F585" s="96">
        <v>1065913.25</v>
      </c>
      <c r="G585" s="96">
        <f>+G586+G589</f>
        <v>0</v>
      </c>
      <c r="H585" s="96">
        <f>ROUND(+H586+H589,2)</f>
        <v>0</v>
      </c>
      <c r="I585" s="30">
        <f t="shared" si="2"/>
        <v>-4038314.3099999996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28" t="s">
        <v>409</v>
      </c>
      <c r="B586" s="29" t="s">
        <v>410</v>
      </c>
      <c r="C586" s="86">
        <v>0</v>
      </c>
      <c r="D586" s="86">
        <v>4472.25</v>
      </c>
      <c r="E586" s="86">
        <v>0</v>
      </c>
      <c r="F586" s="96">
        <v>36415.300000000003</v>
      </c>
      <c r="G586" s="96">
        <f>+G587+G588</f>
        <v>0</v>
      </c>
      <c r="H586" s="96">
        <f>ROUND(+H587+H588,2)</f>
        <v>0</v>
      </c>
      <c r="I586" s="30">
        <f t="shared" si="2"/>
        <v>31943.050000000003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34" t="s">
        <v>411</v>
      </c>
      <c r="B587" s="35" t="s">
        <v>412</v>
      </c>
      <c r="C587" s="87">
        <v>0</v>
      </c>
      <c r="D587" s="87">
        <v>0</v>
      </c>
      <c r="E587" s="87"/>
      <c r="F587" s="97">
        <v>0</v>
      </c>
      <c r="G587" s="97"/>
      <c r="H587" s="97"/>
      <c r="I587" s="36">
        <f t="shared" si="2"/>
        <v>0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34" t="s">
        <v>413</v>
      </c>
      <c r="B588" s="35" t="s">
        <v>414</v>
      </c>
      <c r="C588" s="87">
        <v>0</v>
      </c>
      <c r="D588" s="87">
        <v>4472.25</v>
      </c>
      <c r="E588" s="87"/>
      <c r="F588" s="97">
        <v>36415.300000000003</v>
      </c>
      <c r="G588" s="97"/>
      <c r="H588" s="97"/>
      <c r="I588" s="36">
        <f t="shared" si="2"/>
        <v>31943.050000000003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28" t="s">
        <v>415</v>
      </c>
      <c r="B589" s="29" t="s">
        <v>416</v>
      </c>
      <c r="C589" s="86">
        <v>0</v>
      </c>
      <c r="D589" s="86">
        <v>5099755.3099999996</v>
      </c>
      <c r="E589" s="86">
        <v>0</v>
      </c>
      <c r="F589" s="96">
        <v>1029497.95</v>
      </c>
      <c r="G589" s="96">
        <f>+G590+G591+G595+G596+G597+G598+G599</f>
        <v>0</v>
      </c>
      <c r="H589" s="96">
        <f>ROUND(+H590+H591+H595+H596+H597+H598+H599,2)</f>
        <v>0</v>
      </c>
      <c r="I589" s="30">
        <f t="shared" si="2"/>
        <v>-4070257.3599999994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37" t="s">
        <v>417</v>
      </c>
      <c r="B590" s="38" t="s">
        <v>418</v>
      </c>
      <c r="C590" s="87">
        <v>0</v>
      </c>
      <c r="D590" s="87">
        <v>0</v>
      </c>
      <c r="E590" s="87"/>
      <c r="F590" s="97">
        <v>0</v>
      </c>
      <c r="G590" s="97"/>
      <c r="H590" s="97"/>
      <c r="I590" s="39">
        <f t="shared" si="2"/>
        <v>0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40" t="s">
        <v>419</v>
      </c>
      <c r="B591" s="55" t="s">
        <v>420</v>
      </c>
      <c r="C591" s="85">
        <v>0</v>
      </c>
      <c r="D591" s="85">
        <v>3932504.71</v>
      </c>
      <c r="E591" s="85">
        <v>0</v>
      </c>
      <c r="F591" s="95">
        <v>217785.9</v>
      </c>
      <c r="G591" s="95">
        <f>+G592+G593+G594</f>
        <v>0</v>
      </c>
      <c r="H591" s="95">
        <f>ROUND(+H592+H593+H594,2)</f>
        <v>0</v>
      </c>
      <c r="I591" s="41">
        <f t="shared" si="2"/>
        <v>-3714718.81</v>
      </c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25" t="s">
        <v>421</v>
      </c>
      <c r="B592" s="26" t="s">
        <v>422</v>
      </c>
      <c r="C592" s="88">
        <v>0</v>
      </c>
      <c r="D592" s="88">
        <v>1773745.11</v>
      </c>
      <c r="E592" s="88"/>
      <c r="F592" s="98">
        <v>92220.88</v>
      </c>
      <c r="G592" s="98"/>
      <c r="H592" s="98"/>
      <c r="I592" s="27">
        <f t="shared" si="2"/>
        <v>-1681524.23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25" t="s">
        <v>423</v>
      </c>
      <c r="B593" s="26" t="s">
        <v>424</v>
      </c>
      <c r="C593" s="88">
        <v>0</v>
      </c>
      <c r="D593" s="88">
        <v>243077.98</v>
      </c>
      <c r="E593" s="88"/>
      <c r="F593" s="98">
        <v>32749.69</v>
      </c>
      <c r="G593" s="98"/>
      <c r="H593" s="98"/>
      <c r="I593" s="27">
        <f t="shared" si="2"/>
        <v>-210328.29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25" t="s">
        <v>425</v>
      </c>
      <c r="B594" s="26" t="s">
        <v>426</v>
      </c>
      <c r="C594" s="88">
        <v>0</v>
      </c>
      <c r="D594" s="88">
        <v>1915681.62</v>
      </c>
      <c r="E594" s="88"/>
      <c r="F594" s="98">
        <v>92815.33</v>
      </c>
      <c r="G594" s="98"/>
      <c r="H594" s="98"/>
      <c r="I594" s="27">
        <f t="shared" si="2"/>
        <v>-1822866.29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37" t="s">
        <v>427</v>
      </c>
      <c r="B595" s="38" t="s">
        <v>428</v>
      </c>
      <c r="C595" s="87">
        <v>0</v>
      </c>
      <c r="D595" s="87">
        <v>0</v>
      </c>
      <c r="E595" s="87"/>
      <c r="F595" s="97">
        <v>0</v>
      </c>
      <c r="G595" s="97"/>
      <c r="H595" s="97"/>
      <c r="I595" s="39">
        <f t="shared" si="2"/>
        <v>0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37" t="s">
        <v>429</v>
      </c>
      <c r="B596" s="38" t="s">
        <v>430</v>
      </c>
      <c r="C596" s="87">
        <v>0</v>
      </c>
      <c r="D596" s="87">
        <v>44540.160000000003</v>
      </c>
      <c r="E596" s="87"/>
      <c r="F596" s="97">
        <v>0</v>
      </c>
      <c r="G596" s="97"/>
      <c r="H596" s="97"/>
      <c r="I596" s="39">
        <f t="shared" si="2"/>
        <v>-44540.160000000003</v>
      </c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37" t="s">
        <v>431</v>
      </c>
      <c r="B597" s="38" t="s">
        <v>432</v>
      </c>
      <c r="C597" s="87">
        <v>0</v>
      </c>
      <c r="D597" s="87">
        <v>0</v>
      </c>
      <c r="E597" s="87"/>
      <c r="F597" s="97">
        <v>0</v>
      </c>
      <c r="G597" s="97"/>
      <c r="H597" s="97"/>
      <c r="I597" s="39">
        <f t="shared" si="2"/>
        <v>0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37" t="s">
        <v>433</v>
      </c>
      <c r="B598" s="38" t="s">
        <v>434</v>
      </c>
      <c r="C598" s="87">
        <v>0</v>
      </c>
      <c r="D598" s="87">
        <v>848464.23</v>
      </c>
      <c r="E598" s="87"/>
      <c r="F598" s="97">
        <v>611572.56000000006</v>
      </c>
      <c r="G598" s="97"/>
      <c r="H598" s="97"/>
      <c r="I598" s="39">
        <f t="shared" si="2"/>
        <v>-236891.66999999993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37" t="s">
        <v>435</v>
      </c>
      <c r="B599" s="38" t="s">
        <v>436</v>
      </c>
      <c r="C599" s="87">
        <v>0</v>
      </c>
      <c r="D599" s="87">
        <v>274246.21000000002</v>
      </c>
      <c r="E599" s="87"/>
      <c r="F599" s="97">
        <v>200139.49</v>
      </c>
      <c r="G599" s="97"/>
      <c r="H599" s="97"/>
      <c r="I599" s="39">
        <f t="shared" si="2"/>
        <v>-74106.72000000003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28" t="s">
        <v>437</v>
      </c>
      <c r="B600" s="29" t="s">
        <v>438</v>
      </c>
      <c r="C600" s="86">
        <v>0</v>
      </c>
      <c r="D600" s="86">
        <v>0</v>
      </c>
      <c r="E600" s="86">
        <v>0</v>
      </c>
      <c r="F600" s="96">
        <v>0</v>
      </c>
      <c r="G600" s="96">
        <f>+G601+G602</f>
        <v>0</v>
      </c>
      <c r="H600" s="96">
        <f>ROUND(+H601+H602+H603,2)</f>
        <v>0</v>
      </c>
      <c r="I600" s="30">
        <f t="shared" si="2"/>
        <v>0</v>
      </c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25" t="s">
        <v>439</v>
      </c>
      <c r="B601" s="26" t="s">
        <v>440</v>
      </c>
      <c r="C601" s="88">
        <v>0</v>
      </c>
      <c r="D601" s="88">
        <v>0</v>
      </c>
      <c r="E601" s="88"/>
      <c r="F601" s="98">
        <v>0</v>
      </c>
      <c r="G601" s="98"/>
      <c r="H601" s="98"/>
      <c r="I601" s="27">
        <f t="shared" si="2"/>
        <v>0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48" t="s">
        <v>441</v>
      </c>
      <c r="B602" s="49" t="s">
        <v>442</v>
      </c>
      <c r="C602" s="87">
        <v>0</v>
      </c>
      <c r="D602" s="87">
        <v>0</v>
      </c>
      <c r="E602" s="87"/>
      <c r="F602" s="97">
        <v>0</v>
      </c>
      <c r="G602" s="97"/>
      <c r="H602" s="97"/>
      <c r="I602" s="36">
        <f t="shared" si="2"/>
        <v>0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28" t="s">
        <v>443</v>
      </c>
      <c r="B603" s="29" t="s">
        <v>444</v>
      </c>
      <c r="C603" s="86">
        <v>0</v>
      </c>
      <c r="D603" s="86">
        <v>0</v>
      </c>
      <c r="E603" s="86">
        <v>0</v>
      </c>
      <c r="F603" s="96">
        <v>0</v>
      </c>
      <c r="G603" s="96">
        <f>+G604+G605+G606+G607+G608+G609+G610</f>
        <v>0</v>
      </c>
      <c r="H603" s="96">
        <f>ROUND(SUM(H604:H610),2)</f>
        <v>0</v>
      </c>
      <c r="I603" s="30">
        <f t="shared" si="2"/>
        <v>0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64" t="s">
        <v>445</v>
      </c>
      <c r="B604" s="65" t="s">
        <v>446</v>
      </c>
      <c r="C604" s="87">
        <v>0</v>
      </c>
      <c r="D604" s="87">
        <v>0</v>
      </c>
      <c r="E604" s="87"/>
      <c r="F604" s="97">
        <v>0</v>
      </c>
      <c r="G604" s="97"/>
      <c r="H604" s="97"/>
      <c r="I604" s="66">
        <f t="shared" si="2"/>
        <v>0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64" t="s">
        <v>447</v>
      </c>
      <c r="B605" s="65" t="s">
        <v>448</v>
      </c>
      <c r="C605" s="87">
        <v>0</v>
      </c>
      <c r="D605" s="87">
        <v>0</v>
      </c>
      <c r="E605" s="87"/>
      <c r="F605" s="97">
        <v>0</v>
      </c>
      <c r="G605" s="97"/>
      <c r="H605" s="97"/>
      <c r="I605" s="66">
        <f t="shared" si="2"/>
        <v>0</v>
      </c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64" t="s">
        <v>449</v>
      </c>
      <c r="B606" s="65" t="s">
        <v>450</v>
      </c>
      <c r="C606" s="87">
        <v>0</v>
      </c>
      <c r="D606" s="87">
        <v>0</v>
      </c>
      <c r="E606" s="87"/>
      <c r="F606" s="97">
        <v>0</v>
      </c>
      <c r="G606" s="97"/>
      <c r="H606" s="97"/>
      <c r="I606" s="66">
        <f t="shared" si="2"/>
        <v>0</v>
      </c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64" t="s">
        <v>451</v>
      </c>
      <c r="B607" s="65" t="s">
        <v>452</v>
      </c>
      <c r="C607" s="87">
        <v>0</v>
      </c>
      <c r="D607" s="87">
        <v>0</v>
      </c>
      <c r="E607" s="87"/>
      <c r="F607" s="97">
        <v>0</v>
      </c>
      <c r="G607" s="97"/>
      <c r="H607" s="97"/>
      <c r="I607" s="66">
        <f t="shared" si="2"/>
        <v>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64" t="s">
        <v>453</v>
      </c>
      <c r="B608" s="65" t="s">
        <v>454</v>
      </c>
      <c r="C608" s="87">
        <v>0</v>
      </c>
      <c r="D608" s="87">
        <v>0</v>
      </c>
      <c r="E608" s="87"/>
      <c r="F608" s="97">
        <v>0</v>
      </c>
      <c r="G608" s="97"/>
      <c r="H608" s="97"/>
      <c r="I608" s="66">
        <f t="shared" si="2"/>
        <v>0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64" t="s">
        <v>455</v>
      </c>
      <c r="B609" s="65" t="s">
        <v>456</v>
      </c>
      <c r="C609" s="87">
        <v>0</v>
      </c>
      <c r="D609" s="87">
        <v>0</v>
      </c>
      <c r="E609" s="87"/>
      <c r="F609" s="97">
        <v>0</v>
      </c>
      <c r="G609" s="97"/>
      <c r="H609" s="97"/>
      <c r="I609" s="66">
        <f t="shared" si="2"/>
        <v>0</v>
      </c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37" t="s">
        <v>457</v>
      </c>
      <c r="B610" s="38" t="s">
        <v>458</v>
      </c>
      <c r="C610" s="87">
        <v>0</v>
      </c>
      <c r="D610" s="87">
        <v>0</v>
      </c>
      <c r="E610" s="87"/>
      <c r="F610" s="97">
        <v>0</v>
      </c>
      <c r="G610" s="97"/>
      <c r="H610" s="97"/>
      <c r="I610" s="39">
        <f t="shared" si="2"/>
        <v>0</v>
      </c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28" t="s">
        <v>459</v>
      </c>
      <c r="B611" s="29" t="s">
        <v>460</v>
      </c>
      <c r="C611" s="86">
        <v>0</v>
      </c>
      <c r="D611" s="86">
        <v>0</v>
      </c>
      <c r="E611" s="86"/>
      <c r="F611" s="96">
        <v>0</v>
      </c>
      <c r="G611" s="96"/>
      <c r="H611" s="96"/>
      <c r="I611" s="30">
        <f t="shared" si="2"/>
        <v>0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0" t="s">
        <v>461</v>
      </c>
      <c r="B612" s="11" t="s">
        <v>462</v>
      </c>
      <c r="C612" s="85">
        <v>19466000</v>
      </c>
      <c r="D612" s="85">
        <v>20209593.77</v>
      </c>
      <c r="E612" s="85">
        <v>1341967.1499999999</v>
      </c>
      <c r="F612" s="95">
        <v>19907505.32</v>
      </c>
      <c r="G612" s="95">
        <f>+G613+G618+G621</f>
        <v>1522478.6290232185</v>
      </c>
      <c r="H612" s="95">
        <f>ROUND(H613+H618+H621,2)</f>
        <v>311904.64000000001</v>
      </c>
      <c r="I612" s="12">
        <f t="shared" si="2"/>
        <v>-302088.44999999925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0" t="s">
        <v>463</v>
      </c>
      <c r="B613" s="11" t="s">
        <v>464</v>
      </c>
      <c r="C613" s="85">
        <v>17502600</v>
      </c>
      <c r="D613" s="85">
        <v>17815972.640000001</v>
      </c>
      <c r="E613" s="85">
        <v>1341967.1499999999</v>
      </c>
      <c r="F613" s="95">
        <v>18171000</v>
      </c>
      <c r="G613" s="95">
        <f>+G614+G615+G616+G617</f>
        <v>1522478.6290232185</v>
      </c>
      <c r="H613" s="95">
        <f>ROUND(+H614+H615+H616+H617,2)</f>
        <v>311904.64000000001</v>
      </c>
      <c r="I613" s="12">
        <f t="shared" si="2"/>
        <v>355027.3599999994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28" t="s">
        <v>465</v>
      </c>
      <c r="B614" s="29" t="s">
        <v>466</v>
      </c>
      <c r="C614" s="86">
        <v>16500000</v>
      </c>
      <c r="D614" s="86">
        <v>16854870.84</v>
      </c>
      <c r="E614" s="86">
        <v>1276810.58</v>
      </c>
      <c r="F614" s="96">
        <v>17045000</v>
      </c>
      <c r="G614" s="96">
        <f>1288117.2+((G319+G320)/124.9*100)*0.085</f>
        <v>1490178.6290232185</v>
      </c>
      <c r="H614" s="96">
        <f>(H402/124.9*100)*0.085</f>
        <v>283062.96913530829</v>
      </c>
      <c r="I614" s="30">
        <f t="shared" si="2"/>
        <v>190129.16000000015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28" t="s">
        <v>467</v>
      </c>
      <c r="B615" s="29" t="s">
        <v>468</v>
      </c>
      <c r="C615" s="86">
        <v>285000</v>
      </c>
      <c r="D615" s="86">
        <v>226288.43</v>
      </c>
      <c r="E615" s="86">
        <v>65156.57</v>
      </c>
      <c r="F615" s="96">
        <v>226000</v>
      </c>
      <c r="G615" s="96">
        <v>32300</v>
      </c>
      <c r="H615" s="96">
        <v>28841.6679</v>
      </c>
      <c r="I615" s="30">
        <f t="shared" si="2"/>
        <v>-288.42999999999302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28" t="s">
        <v>469</v>
      </c>
      <c r="B616" s="29" t="s">
        <v>470</v>
      </c>
      <c r="C616" s="86">
        <v>717600</v>
      </c>
      <c r="D616" s="86">
        <v>734813.37</v>
      </c>
      <c r="E616" s="86"/>
      <c r="F616" s="96">
        <v>900000</v>
      </c>
      <c r="G616" s="96"/>
      <c r="H616" s="96"/>
      <c r="I616" s="30">
        <f t="shared" si="2"/>
        <v>165186.63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28" t="s">
        <v>471</v>
      </c>
      <c r="B617" s="29" t="s">
        <v>472</v>
      </c>
      <c r="C617" s="86">
        <v>0</v>
      </c>
      <c r="D617" s="86">
        <v>0</v>
      </c>
      <c r="E617" s="86"/>
      <c r="F617" s="96">
        <v>0</v>
      </c>
      <c r="G617" s="96"/>
      <c r="H617" s="96"/>
      <c r="I617" s="30">
        <f t="shared" si="2"/>
        <v>0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0" t="s">
        <v>473</v>
      </c>
      <c r="B618" s="11" t="s">
        <v>474</v>
      </c>
      <c r="C618" s="85">
        <v>330000</v>
      </c>
      <c r="D618" s="85">
        <v>315119</v>
      </c>
      <c r="E618" s="85">
        <v>0</v>
      </c>
      <c r="F618" s="95">
        <v>315000</v>
      </c>
      <c r="G618" s="95">
        <f>+G619+G620</f>
        <v>0</v>
      </c>
      <c r="H618" s="95">
        <f>ROUND(+H619+H620,2)</f>
        <v>0</v>
      </c>
      <c r="I618" s="12">
        <f t="shared" si="2"/>
        <v>-119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28" t="s">
        <v>475</v>
      </c>
      <c r="B619" s="29" t="s">
        <v>476</v>
      </c>
      <c r="C619" s="86">
        <v>330000</v>
      </c>
      <c r="D619" s="86">
        <v>315119</v>
      </c>
      <c r="E619" s="86"/>
      <c r="F619" s="96">
        <v>315000</v>
      </c>
      <c r="G619" s="96"/>
      <c r="H619" s="96"/>
      <c r="I619" s="30">
        <f t="shared" si="2"/>
        <v>-119</v>
      </c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28" t="s">
        <v>477</v>
      </c>
      <c r="B620" s="29" t="s">
        <v>478</v>
      </c>
      <c r="C620" s="86">
        <v>0</v>
      </c>
      <c r="D620" s="86">
        <v>0</v>
      </c>
      <c r="E620" s="86"/>
      <c r="F620" s="96">
        <v>0</v>
      </c>
      <c r="G620" s="96"/>
      <c r="H620" s="96"/>
      <c r="I620" s="30">
        <f t="shared" si="2"/>
        <v>0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0" t="s">
        <v>479</v>
      </c>
      <c r="B621" s="11" t="s">
        <v>480</v>
      </c>
      <c r="C621" s="85">
        <v>1633400</v>
      </c>
      <c r="D621" s="85">
        <v>2078502.13</v>
      </c>
      <c r="E621" s="85"/>
      <c r="F621" s="95">
        <v>1421505.32</v>
      </c>
      <c r="G621" s="95"/>
      <c r="H621" s="95"/>
      <c r="I621" s="12">
        <f t="shared" si="2"/>
        <v>-656996.80999999982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5"/>
      <c r="C622" s="91"/>
      <c r="D622" s="9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5"/>
      <c r="C623" s="91"/>
      <c r="D623" s="9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5"/>
      <c r="C624" s="91"/>
      <c r="D624" s="9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5"/>
      <c r="C625" s="91"/>
      <c r="D625" s="9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5"/>
      <c r="C626" s="91"/>
      <c r="D626" s="9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5"/>
      <c r="C627" s="91"/>
      <c r="D627" s="9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5"/>
      <c r="C628" s="91"/>
      <c r="D628" s="9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5"/>
      <c r="C629" s="91"/>
      <c r="D629" s="9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5"/>
      <c r="C630" s="91"/>
      <c r="D630" s="9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5"/>
      <c r="C631" s="91"/>
      <c r="D631" s="9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5"/>
      <c r="C632" s="91"/>
      <c r="D632" s="9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5"/>
      <c r="C633" s="91"/>
      <c r="D633" s="9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5"/>
      <c r="C634" s="91"/>
      <c r="D634" s="9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5"/>
      <c r="C635" s="91"/>
      <c r="D635" s="9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5"/>
      <c r="C636" s="91"/>
      <c r="D636" s="9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5"/>
      <c r="C637" s="91"/>
      <c r="D637" s="9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5"/>
      <c r="C638" s="91"/>
      <c r="D638" s="9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5"/>
      <c r="C639" s="91"/>
      <c r="D639" s="9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5"/>
      <c r="C640" s="91"/>
      <c r="D640" s="9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5"/>
      <c r="C641" s="91"/>
      <c r="D641" s="9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5"/>
      <c r="C642" s="91"/>
      <c r="D642" s="9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5"/>
      <c r="C643" s="91"/>
      <c r="D643" s="9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5"/>
      <c r="C644" s="91"/>
      <c r="D644" s="9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5"/>
      <c r="C645" s="91"/>
      <c r="D645" s="9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5"/>
      <c r="C646" s="91"/>
      <c r="D646" s="9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5"/>
      <c r="C647" s="91"/>
      <c r="D647" s="9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5"/>
      <c r="C648" s="91"/>
      <c r="D648" s="9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5"/>
      <c r="C649" s="91"/>
      <c r="D649" s="9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5"/>
      <c r="C650" s="91"/>
      <c r="D650" s="9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5"/>
      <c r="C651" s="91"/>
      <c r="D651" s="9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5"/>
      <c r="C652" s="91"/>
      <c r="D652" s="9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5"/>
      <c r="C653" s="91"/>
      <c r="D653" s="9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5"/>
      <c r="C654" s="91"/>
      <c r="D654" s="9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5"/>
      <c r="C655" s="91"/>
      <c r="D655" s="9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5"/>
      <c r="C656" s="91"/>
      <c r="D656" s="9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5"/>
      <c r="C657" s="91"/>
      <c r="D657" s="9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5"/>
      <c r="C658" s="91"/>
      <c r="D658" s="9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5"/>
      <c r="C659" s="91"/>
      <c r="D659" s="9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5"/>
      <c r="C660" s="91"/>
      <c r="D660" s="9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5"/>
      <c r="C661" s="91"/>
      <c r="D661" s="9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5"/>
      <c r="C662" s="91"/>
      <c r="D662" s="9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5"/>
      <c r="C663" s="91"/>
      <c r="D663" s="9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5"/>
      <c r="C664" s="91"/>
      <c r="D664" s="9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5"/>
      <c r="C665" s="91"/>
      <c r="D665" s="9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5"/>
      <c r="C666" s="91"/>
      <c r="D666" s="9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5"/>
      <c r="C667" s="91"/>
      <c r="D667" s="9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5"/>
      <c r="C668" s="91"/>
      <c r="D668" s="9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5"/>
      <c r="C669" s="91"/>
      <c r="D669" s="9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5"/>
      <c r="C670" s="91"/>
      <c r="D670" s="9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5"/>
      <c r="C671" s="91"/>
      <c r="D671" s="9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5"/>
      <c r="C672" s="91"/>
      <c r="D672" s="9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5"/>
      <c r="C673" s="91"/>
      <c r="D673" s="9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5"/>
      <c r="C674" s="91"/>
      <c r="D674" s="9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5"/>
      <c r="C675" s="91"/>
      <c r="D675" s="9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5"/>
      <c r="C676" s="91"/>
      <c r="D676" s="9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5"/>
      <c r="C677" s="91"/>
      <c r="D677" s="9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5"/>
      <c r="C678" s="91"/>
      <c r="D678" s="9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5"/>
      <c r="C679" s="91"/>
      <c r="D679" s="9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5"/>
      <c r="C680" s="91"/>
      <c r="D680" s="9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5"/>
      <c r="C681" s="91"/>
      <c r="D681" s="9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5"/>
      <c r="C682" s="91"/>
      <c r="D682" s="9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5"/>
      <c r="C683" s="91"/>
      <c r="D683" s="9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5"/>
      <c r="C684" s="91"/>
      <c r="D684" s="9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5"/>
      <c r="C685" s="91"/>
      <c r="D685" s="9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5"/>
      <c r="C686" s="91"/>
      <c r="D686" s="9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5"/>
      <c r="C687" s="91"/>
      <c r="D687" s="9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5"/>
      <c r="C688" s="91"/>
      <c r="D688" s="9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5"/>
      <c r="C689" s="91"/>
      <c r="D689" s="9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5"/>
      <c r="C690" s="91"/>
      <c r="D690" s="9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5"/>
      <c r="C691" s="91"/>
      <c r="D691" s="9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5"/>
      <c r="C692" s="91"/>
      <c r="D692" s="9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5"/>
      <c r="C693" s="91"/>
      <c r="D693" s="9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5"/>
      <c r="C694" s="91"/>
      <c r="D694" s="9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5"/>
      <c r="C695" s="91"/>
      <c r="D695" s="9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5"/>
      <c r="C696" s="91"/>
      <c r="D696" s="9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5"/>
      <c r="C697" s="91"/>
      <c r="D697" s="9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5"/>
      <c r="C698" s="91"/>
      <c r="D698" s="9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5"/>
      <c r="C699" s="91"/>
      <c r="D699" s="9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5"/>
      <c r="C700" s="91"/>
      <c r="D700" s="9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5"/>
      <c r="C701" s="91"/>
      <c r="D701" s="9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5"/>
      <c r="C702" s="91"/>
      <c r="D702" s="9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5"/>
      <c r="C703" s="91"/>
      <c r="D703" s="9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5"/>
      <c r="C704" s="91"/>
      <c r="D704" s="9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5"/>
      <c r="C705" s="91"/>
      <c r="D705" s="9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5"/>
      <c r="C706" s="91"/>
      <c r="D706" s="9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5"/>
      <c r="C707" s="91"/>
      <c r="D707" s="9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5"/>
      <c r="C708" s="91"/>
      <c r="D708" s="9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5"/>
      <c r="C709" s="91"/>
      <c r="D709" s="9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5"/>
      <c r="C710" s="91"/>
      <c r="D710" s="9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5"/>
      <c r="C711" s="91"/>
      <c r="D711" s="9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5"/>
      <c r="C712" s="91"/>
      <c r="D712" s="9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5"/>
      <c r="C713" s="91"/>
      <c r="D713" s="9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5"/>
      <c r="C714" s="91"/>
      <c r="D714" s="9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5"/>
      <c r="C715" s="91"/>
      <c r="D715" s="9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5"/>
      <c r="C716" s="91"/>
      <c r="D716" s="9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5"/>
      <c r="C717" s="91"/>
      <c r="D717" s="9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5"/>
      <c r="C718" s="91"/>
      <c r="D718" s="9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5"/>
      <c r="C719" s="91"/>
      <c r="D719" s="9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5"/>
      <c r="C720" s="91"/>
      <c r="D720" s="9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5"/>
      <c r="C721" s="91"/>
      <c r="D721" s="9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5"/>
      <c r="C722" s="91"/>
      <c r="D722" s="9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5"/>
      <c r="C723" s="91"/>
      <c r="D723" s="9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5"/>
      <c r="C724" s="91"/>
      <c r="D724" s="9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5"/>
      <c r="C725" s="91"/>
      <c r="D725" s="9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5"/>
      <c r="C726" s="91"/>
      <c r="D726" s="9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5"/>
      <c r="C727" s="91"/>
      <c r="D727" s="9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5"/>
      <c r="C728" s="91"/>
      <c r="D728" s="9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5"/>
      <c r="C729" s="91"/>
      <c r="D729" s="9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5"/>
      <c r="C730" s="91"/>
      <c r="D730" s="9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5"/>
      <c r="C731" s="91"/>
      <c r="D731" s="9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5"/>
      <c r="C732" s="91"/>
      <c r="D732" s="9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5"/>
      <c r="C733" s="91"/>
      <c r="D733" s="9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5"/>
      <c r="C734" s="91"/>
      <c r="D734" s="9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5"/>
      <c r="C735" s="91"/>
      <c r="D735" s="9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5"/>
      <c r="C736" s="91"/>
      <c r="D736" s="9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5"/>
      <c r="C737" s="91"/>
      <c r="D737" s="9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5"/>
      <c r="C738" s="91"/>
      <c r="D738" s="9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5"/>
      <c r="C739" s="91"/>
      <c r="D739" s="9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5"/>
      <c r="C740" s="91"/>
      <c r="D740" s="9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5"/>
      <c r="C741" s="91"/>
      <c r="D741" s="9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5"/>
      <c r="C742" s="91"/>
      <c r="D742" s="9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5"/>
      <c r="C743" s="91"/>
      <c r="D743" s="9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5"/>
      <c r="C744" s="91"/>
      <c r="D744" s="9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5"/>
      <c r="C745" s="91"/>
      <c r="D745" s="9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5"/>
      <c r="C746" s="91"/>
      <c r="D746" s="9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5"/>
      <c r="C747" s="91"/>
      <c r="D747" s="9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5"/>
      <c r="C748" s="91"/>
      <c r="D748" s="9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5"/>
      <c r="C749" s="91"/>
      <c r="D749" s="9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5"/>
      <c r="C750" s="91"/>
      <c r="D750" s="9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5"/>
      <c r="C751" s="91"/>
      <c r="D751" s="9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5"/>
      <c r="C752" s="91"/>
      <c r="D752" s="9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5"/>
      <c r="C753" s="91"/>
      <c r="D753" s="9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5"/>
      <c r="C754" s="91"/>
      <c r="D754" s="9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5"/>
      <c r="C755" s="91"/>
      <c r="D755" s="9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5"/>
      <c r="C756" s="91"/>
      <c r="D756" s="9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5"/>
      <c r="C757" s="91"/>
      <c r="D757" s="9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5"/>
      <c r="C758" s="91"/>
      <c r="D758" s="9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5"/>
      <c r="C759" s="91"/>
      <c r="D759" s="9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5"/>
      <c r="C760" s="91"/>
      <c r="D760" s="9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5"/>
      <c r="C761" s="91"/>
      <c r="D761" s="9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5"/>
      <c r="C762" s="91"/>
      <c r="D762" s="9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5"/>
      <c r="C763" s="91"/>
      <c r="D763" s="9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5"/>
      <c r="C764" s="91"/>
      <c r="D764" s="9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5"/>
      <c r="C765" s="91"/>
      <c r="D765" s="9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5"/>
      <c r="C766" s="91"/>
      <c r="D766" s="9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5"/>
      <c r="C767" s="91"/>
      <c r="D767" s="9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5"/>
      <c r="C768" s="91"/>
      <c r="D768" s="9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5"/>
      <c r="C769" s="91"/>
      <c r="D769" s="9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5"/>
      <c r="C770" s="91"/>
      <c r="D770" s="9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5"/>
      <c r="C771" s="91"/>
      <c r="D771" s="9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5"/>
      <c r="C772" s="91"/>
      <c r="D772" s="9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5"/>
      <c r="C773" s="91"/>
      <c r="D773" s="9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5"/>
      <c r="C774" s="91"/>
      <c r="D774" s="9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5"/>
      <c r="C775" s="91"/>
      <c r="D775" s="9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5"/>
      <c r="C776" s="91"/>
      <c r="D776" s="9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5"/>
      <c r="C777" s="91"/>
      <c r="D777" s="9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5"/>
      <c r="C778" s="91"/>
      <c r="D778" s="9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5"/>
      <c r="C779" s="91"/>
      <c r="D779" s="9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5"/>
      <c r="C780" s="91"/>
      <c r="D780" s="9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5"/>
      <c r="C781" s="91"/>
      <c r="D781" s="9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5"/>
      <c r="C782" s="91"/>
      <c r="D782" s="9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5"/>
      <c r="C783" s="91"/>
      <c r="D783" s="9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5"/>
      <c r="C784" s="91"/>
      <c r="D784" s="9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5"/>
      <c r="C785" s="91"/>
      <c r="D785" s="9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5"/>
      <c r="C786" s="91"/>
      <c r="D786" s="9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5"/>
      <c r="C787" s="91"/>
      <c r="D787" s="9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5"/>
      <c r="C788" s="91"/>
      <c r="D788" s="9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5"/>
      <c r="C789" s="91"/>
      <c r="D789" s="9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5"/>
      <c r="C790" s="91"/>
      <c r="D790" s="9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5"/>
      <c r="C791" s="91"/>
      <c r="D791" s="9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5"/>
      <c r="C792" s="91"/>
      <c r="D792" s="9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5"/>
      <c r="C793" s="91"/>
      <c r="D793" s="9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5"/>
      <c r="C794" s="91"/>
      <c r="D794" s="9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5"/>
      <c r="C795" s="91"/>
      <c r="D795" s="9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5"/>
      <c r="C796" s="91"/>
      <c r="D796" s="9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5"/>
      <c r="C797" s="91"/>
      <c r="D797" s="9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5"/>
      <c r="C798" s="91"/>
      <c r="D798" s="9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5"/>
      <c r="C799" s="91"/>
      <c r="D799" s="9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5"/>
      <c r="C800" s="91"/>
      <c r="D800" s="9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5"/>
      <c r="C801" s="91"/>
      <c r="D801" s="9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5"/>
      <c r="C802" s="91"/>
      <c r="D802" s="9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5"/>
      <c r="C803" s="91"/>
      <c r="D803" s="9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5"/>
      <c r="C804" s="91"/>
      <c r="D804" s="9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5"/>
      <c r="C805" s="91"/>
      <c r="D805" s="9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5"/>
      <c r="C806" s="91"/>
      <c r="D806" s="9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5"/>
      <c r="C807" s="91"/>
      <c r="D807" s="9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5"/>
      <c r="C808" s="91"/>
      <c r="D808" s="9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5"/>
      <c r="C809" s="91"/>
      <c r="D809" s="9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5"/>
      <c r="C810" s="91"/>
      <c r="D810" s="9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5"/>
      <c r="C811" s="91"/>
      <c r="D811" s="9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5"/>
      <c r="C812" s="91"/>
      <c r="D812" s="9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5"/>
      <c r="C813" s="91"/>
      <c r="D813" s="9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5"/>
      <c r="C814" s="91"/>
      <c r="D814" s="9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5"/>
      <c r="C815" s="91"/>
      <c r="D815" s="9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5"/>
      <c r="C816" s="91"/>
      <c r="D816" s="9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5"/>
      <c r="C817" s="91"/>
      <c r="D817" s="9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5"/>
      <c r="C818" s="91"/>
      <c r="D818" s="9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5"/>
      <c r="C819" s="91"/>
      <c r="D819" s="9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5"/>
      <c r="C820" s="91"/>
      <c r="D820" s="9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5"/>
      <c r="C821" s="91"/>
      <c r="D821" s="9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/>
    <row r="823" spans="1:23" ht="15.75" customHeight="1" x14ac:dyDescent="0.25"/>
    <row r="824" spans="1:23" ht="15.75" customHeight="1" x14ac:dyDescent="0.25"/>
    <row r="825" spans="1:23" ht="15.75" customHeight="1" x14ac:dyDescent="0.25"/>
    <row r="826" spans="1:23" ht="15.75" customHeight="1" x14ac:dyDescent="0.25"/>
    <row r="827" spans="1:23" ht="15.75" customHeight="1" x14ac:dyDescent="0.25"/>
    <row r="828" spans="1:23" ht="15.75" customHeight="1" x14ac:dyDescent="0.25"/>
    <row r="829" spans="1:23" ht="15.75" customHeight="1" x14ac:dyDescent="0.25"/>
    <row r="830" spans="1:23" ht="15.75" customHeight="1" x14ac:dyDescent="0.25"/>
    <row r="831" spans="1:23" ht="15.75" customHeight="1" x14ac:dyDescent="0.25"/>
    <row r="832" spans="1:23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sheet="1" objects="1" scenarios="1"/>
  <mergeCells count="1">
    <mergeCell ref="F6:H6"/>
  </mergeCells>
  <phoneticPr fontId="20" type="noConversion"/>
  <pageMargins left="0.51181102362204722" right="0.31496062992125984" top="0.74803149606299213" bottom="0.74803149606299213" header="0" footer="0"/>
  <pageSetup paperSize="8" scale="85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6"/>
  <sheetViews>
    <sheetView zoomScale="130" zoomScaleNormal="130" workbookViewId="0">
      <selection activeCell="D12" sqref="D12"/>
    </sheetView>
  </sheetViews>
  <sheetFormatPr defaultRowHeight="15" x14ac:dyDescent="0.25"/>
  <cols>
    <col min="1" max="1" width="9.140625" style="70"/>
    <col min="2" max="2" width="42.85546875" style="70" customWidth="1"/>
    <col min="3" max="3" width="18.42578125" style="73" bestFit="1" customWidth="1"/>
    <col min="4" max="4" width="18.85546875" style="73" customWidth="1"/>
    <col min="5" max="5" width="14.140625" style="70" bestFit="1" customWidth="1"/>
    <col min="6" max="16384" width="9.140625" style="70"/>
  </cols>
  <sheetData>
    <row r="1" spans="1:6" x14ac:dyDescent="0.25">
      <c r="A1" s="72"/>
      <c r="B1" s="72"/>
      <c r="C1" s="71" t="s">
        <v>530</v>
      </c>
      <c r="D1" s="71" t="s">
        <v>482</v>
      </c>
      <c r="E1" s="83" t="s">
        <v>525</v>
      </c>
      <c r="F1" s="83" t="s">
        <v>526</v>
      </c>
    </row>
    <row r="2" spans="1:6" x14ac:dyDescent="0.25">
      <c r="A2" s="72" t="s">
        <v>824</v>
      </c>
      <c r="B2" s="72" t="s">
        <v>825</v>
      </c>
      <c r="C2" s="74">
        <f>'INPUT CE'!D155</f>
        <v>681399767.12</v>
      </c>
      <c r="D2" s="74">
        <f>'INPUT CE'!F155</f>
        <v>695892501.21000004</v>
      </c>
      <c r="E2" s="74"/>
      <c r="F2" s="72"/>
    </row>
    <row r="3" spans="1:6" x14ac:dyDescent="0.25">
      <c r="A3" s="72" t="s">
        <v>461</v>
      </c>
      <c r="B3" s="72" t="s">
        <v>462</v>
      </c>
      <c r="C3" s="74">
        <f>'INPUT CE'!D612</f>
        <v>20209593.77</v>
      </c>
      <c r="D3" s="74">
        <f>'INPUT CE'!F612</f>
        <v>19907505.32</v>
      </c>
      <c r="E3" s="74"/>
      <c r="F3" s="72"/>
    </row>
    <row r="4" spans="1:6" x14ac:dyDescent="0.25">
      <c r="A4" s="72"/>
      <c r="B4" s="72" t="s">
        <v>511</v>
      </c>
      <c r="C4" s="74">
        <f>appoggio!C1</f>
        <v>0</v>
      </c>
      <c r="D4" s="74">
        <f>appoggio!E1</f>
        <v>0</v>
      </c>
      <c r="E4" s="74"/>
      <c r="F4" s="72"/>
    </row>
    <row r="5" spans="1:6" x14ac:dyDescent="0.25">
      <c r="A5" s="72"/>
      <c r="B5" s="72" t="s">
        <v>512</v>
      </c>
      <c r="C5" s="74">
        <f>'INPUT CE'!D452</f>
        <v>29150613.109999999</v>
      </c>
      <c r="D5" s="74">
        <f>'INPUT CE'!F452</f>
        <v>32154126.02</v>
      </c>
      <c r="E5" s="74"/>
      <c r="F5" s="72"/>
    </row>
    <row r="6" spans="1:6" x14ac:dyDescent="0.25">
      <c r="A6" s="72"/>
      <c r="B6" s="72" t="s">
        <v>513</v>
      </c>
      <c r="C6" s="74">
        <f>'INPUT CE'!D483</f>
        <v>-718364.59</v>
      </c>
      <c r="D6" s="74">
        <f>'INPUT CE'!F483</f>
        <v>-8261140.7800000003</v>
      </c>
      <c r="E6" s="74"/>
      <c r="F6" s="72"/>
    </row>
    <row r="7" spans="1:6" x14ac:dyDescent="0.25">
      <c r="A7" s="72"/>
      <c r="B7" s="72" t="s">
        <v>514</v>
      </c>
      <c r="C7" s="74">
        <f>'INPUT CE'!D500</f>
        <v>31824368.550000001</v>
      </c>
      <c r="D7" s="74">
        <f>'INPUT CE'!F500</f>
        <v>22744088.690000001</v>
      </c>
      <c r="E7" s="74"/>
      <c r="F7" s="72"/>
    </row>
    <row r="8" spans="1:6" x14ac:dyDescent="0.25">
      <c r="A8" s="72"/>
      <c r="B8" s="75" t="s">
        <v>523</v>
      </c>
      <c r="C8" s="76">
        <f>C2+C3-C4-C5-C6-C7</f>
        <v>641352743.82000005</v>
      </c>
      <c r="D8" s="76">
        <f>D2+D3-D4-D5-D6-D7</f>
        <v>669162932.60000002</v>
      </c>
      <c r="E8" s="76">
        <f>D8-C8</f>
        <v>27810188.779999971</v>
      </c>
      <c r="F8" s="77">
        <f>E8/C8</f>
        <v>4.3361767838331858E-2</v>
      </c>
    </row>
    <row r="9" spans="1:6" x14ac:dyDescent="0.25">
      <c r="A9" s="72"/>
      <c r="B9" s="72" t="s">
        <v>515</v>
      </c>
      <c r="C9" s="74">
        <f>'INPUT CE'!D192+'INPUT CE'!D351+'INPUT CE'!D356+'INPUT CE'!D357</f>
        <v>28053122.470000003</v>
      </c>
      <c r="D9" s="74">
        <f>'INPUT CE'!F192+'INPUT CE'!F351+'INPUT CE'!F356+'INPUT CE'!F357</f>
        <v>38020000</v>
      </c>
      <c r="E9" s="74"/>
      <c r="F9" s="72"/>
    </row>
    <row r="10" spans="1:6" x14ac:dyDescent="0.25">
      <c r="A10" s="72"/>
      <c r="B10" s="75" t="s">
        <v>520</v>
      </c>
      <c r="C10" s="76">
        <f>C8-C9</f>
        <v>613299621.35000002</v>
      </c>
      <c r="D10" s="76">
        <f>D8-D9</f>
        <v>631142932.60000002</v>
      </c>
      <c r="E10" s="76">
        <f>D10-C10</f>
        <v>17843311.25</v>
      </c>
      <c r="F10" s="77">
        <f>E10/C10</f>
        <v>2.9093954453653762E-2</v>
      </c>
    </row>
    <row r="11" spans="1:6" x14ac:dyDescent="0.25">
      <c r="A11" s="72"/>
      <c r="B11" s="78" t="s">
        <v>521</v>
      </c>
      <c r="C11" s="74">
        <v>0</v>
      </c>
      <c r="D11" s="93">
        <v>1021523.8191502684</v>
      </c>
      <c r="E11" s="74"/>
      <c r="F11" s="72"/>
    </row>
    <row r="12" spans="1:6" x14ac:dyDescent="0.25">
      <c r="A12" s="72"/>
      <c r="B12" s="78" t="s">
        <v>516</v>
      </c>
      <c r="C12" s="74">
        <v>0</v>
      </c>
      <c r="D12" s="93">
        <v>-4200000</v>
      </c>
      <c r="E12" s="74"/>
      <c r="F12" s="72"/>
    </row>
    <row r="13" spans="1:6" x14ac:dyDescent="0.25">
      <c r="A13" s="72"/>
      <c r="B13" s="75" t="s">
        <v>522</v>
      </c>
      <c r="C13" s="76">
        <f>C10-C11-C12</f>
        <v>613299621.35000002</v>
      </c>
      <c r="D13" s="76">
        <f>D10-D11+D12</f>
        <v>625921408.78084981</v>
      </c>
      <c r="E13" s="76">
        <f>D13-C13</f>
        <v>12621787.430849791</v>
      </c>
      <c r="F13" s="77">
        <f>E13/C13</f>
        <v>2.0580132436844836E-2</v>
      </c>
    </row>
    <row r="14" spans="1:6" ht="15.75" thickBot="1" x14ac:dyDescent="0.3">
      <c r="A14" s="72"/>
      <c r="B14" s="72" t="s">
        <v>527</v>
      </c>
      <c r="C14" s="74">
        <f>('INPUT CE'!E155+'INPUT CE'!E612-'INPUT CE'!E500-'INPUT CE'!E483-'INPUT CE'!E452-appoggio!D1)/4</f>
        <v>7122536.834999999</v>
      </c>
      <c r="D14" s="74">
        <f>'INPUT CE'!H155+'INPUT CE'!H612-'INPUT CE'!H500-'INPUT CE'!H483-'INPUT CE'!H452-appoggio!F1</f>
        <v>6444618.4499999993</v>
      </c>
      <c r="E14" s="74"/>
      <c r="F14" s="72"/>
    </row>
    <row r="15" spans="1:6" ht="15.75" thickBot="1" x14ac:dyDescent="0.3">
      <c r="A15" s="72"/>
      <c r="B15" s="79" t="s">
        <v>524</v>
      </c>
      <c r="C15" s="80">
        <f>C13-C14</f>
        <v>606177084.51499999</v>
      </c>
      <c r="D15" s="81">
        <f>D13-D14</f>
        <v>619476790.33084977</v>
      </c>
      <c r="E15" s="81">
        <f>D15-C15</f>
        <v>13299705.815849781</v>
      </c>
      <c r="F15" s="82">
        <f>E15/C15</f>
        <v>2.1940297902370932E-2</v>
      </c>
    </row>
    <row r="16" spans="1:6" x14ac:dyDescent="0.25">
      <c r="A16" s="72"/>
      <c r="B16" s="72"/>
      <c r="C16" s="72"/>
      <c r="D16" s="72"/>
      <c r="E16" s="72"/>
      <c r="F16" s="72"/>
    </row>
  </sheetData>
  <sheetProtection sheet="1" objects="1" scenarios="1"/>
  <phoneticPr fontId="20" type="noConversion"/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3" sqref="C3"/>
    </sheetView>
  </sheetViews>
  <sheetFormatPr defaultRowHeight="15" x14ac:dyDescent="0.25"/>
  <cols>
    <col min="2" max="2" width="139.42578125" bestFit="1" customWidth="1"/>
    <col min="3" max="3" width="16.7109375" bestFit="1" customWidth="1"/>
    <col min="4" max="4" width="16.7109375" customWidth="1"/>
    <col min="5" max="5" width="16.7109375" bestFit="1" customWidth="1"/>
    <col min="6" max="6" width="14" customWidth="1"/>
  </cols>
  <sheetData>
    <row r="1" spans="1:6" x14ac:dyDescent="0.25">
      <c r="C1" s="68">
        <f>SUM(C3:C26)</f>
        <v>0</v>
      </c>
      <c r="D1" s="68">
        <f>SUM(D3:D26)</f>
        <v>0</v>
      </c>
      <c r="E1" s="68">
        <f>SUM(E3:E26)</f>
        <v>0</v>
      </c>
      <c r="F1" s="68">
        <f>SUM(F3:F26)</f>
        <v>0</v>
      </c>
    </row>
    <row r="2" spans="1:6" ht="25.5" x14ac:dyDescent="0.25">
      <c r="C2" s="8" t="s">
        <v>530</v>
      </c>
      <c r="D2" s="8" t="s">
        <v>518</v>
      </c>
      <c r="E2" s="8" t="s">
        <v>482</v>
      </c>
      <c r="F2" s="8" t="s">
        <v>519</v>
      </c>
    </row>
    <row r="3" spans="1:6" x14ac:dyDescent="0.25">
      <c r="A3" t="s">
        <v>840</v>
      </c>
      <c r="B3" t="s">
        <v>487</v>
      </c>
      <c r="C3" s="67">
        <f>VLOOKUP(A3,'INPUT CE'!$A$8:$D$621,4,FALSE)</f>
        <v>0</v>
      </c>
      <c r="D3" s="67">
        <f>VLOOKUP(A3,'INPUT CE'!$A$8:$E$621,5,FALSE)/3</f>
        <v>0</v>
      </c>
      <c r="E3" s="67">
        <f>VLOOKUP(A3,'INPUT CE'!$A$8:$H$621,6,FALSE)</f>
        <v>0</v>
      </c>
      <c r="F3">
        <f>VLOOKUP(A3,'INPUT CE'!$A$8:$H$621,8,FALSE)</f>
        <v>0</v>
      </c>
    </row>
    <row r="4" spans="1:6" x14ac:dyDescent="0.25">
      <c r="A4" t="s">
        <v>842</v>
      </c>
      <c r="B4" t="s">
        <v>488</v>
      </c>
      <c r="C4" s="67">
        <f>VLOOKUP(A4,'INPUT CE'!$A$8:$D$621,4,FALSE)</f>
        <v>0</v>
      </c>
      <c r="D4" s="67">
        <f>VLOOKUP(A4,'INPUT CE'!$A$8:$E$621,5,FALSE)</f>
        <v>0</v>
      </c>
      <c r="E4" s="67">
        <f>VLOOKUP(A4,'INPUT CE'!$A$8:$H$621,6,FALSE)</f>
        <v>0</v>
      </c>
      <c r="F4">
        <f>VLOOKUP(A4,'INPUT CE'!$A$8:$H$621,8,FALSE)</f>
        <v>0</v>
      </c>
    </row>
    <row r="5" spans="1:6" x14ac:dyDescent="0.25">
      <c r="A5" t="s">
        <v>924</v>
      </c>
      <c r="B5" t="s">
        <v>489</v>
      </c>
      <c r="C5" s="67">
        <f>VLOOKUP(A5,'INPUT CE'!$A$8:$D$621,4,FALSE)</f>
        <v>0</v>
      </c>
      <c r="D5" s="67">
        <f>VLOOKUP(A5,'INPUT CE'!$A$8:$E$621,5,FALSE)</f>
        <v>0</v>
      </c>
      <c r="E5" s="67">
        <f>VLOOKUP(A5,'INPUT CE'!$A$8:$H$621,6,FALSE)</f>
        <v>0</v>
      </c>
      <c r="F5">
        <f>VLOOKUP(A5,'INPUT CE'!$A$8:$H$621,8,FALSE)</f>
        <v>0</v>
      </c>
    </row>
    <row r="6" spans="1:6" x14ac:dyDescent="0.25">
      <c r="A6" t="s">
        <v>926</v>
      </c>
      <c r="B6" t="s">
        <v>490</v>
      </c>
      <c r="C6" s="67">
        <f>VLOOKUP(A6,'INPUT CE'!$A$8:$D$621,4,FALSE)</f>
        <v>0</v>
      </c>
      <c r="D6" s="67">
        <f>VLOOKUP(A6,'INPUT CE'!$A$8:$E$621,5,FALSE)</f>
        <v>0</v>
      </c>
      <c r="E6" s="67">
        <f>VLOOKUP(A6,'INPUT CE'!$A$8:$H$621,6,FALSE)</f>
        <v>0</v>
      </c>
      <c r="F6">
        <f>VLOOKUP(A6,'INPUT CE'!$A$8:$H$621,8,FALSE)</f>
        <v>0</v>
      </c>
    </row>
    <row r="7" spans="1:6" x14ac:dyDescent="0.25">
      <c r="A7" t="s">
        <v>932</v>
      </c>
      <c r="B7" t="s">
        <v>491</v>
      </c>
      <c r="C7" s="67">
        <f>VLOOKUP(A7,'INPUT CE'!$A$8:$D$621,4,FALSE)</f>
        <v>0</v>
      </c>
      <c r="D7" s="67">
        <f>VLOOKUP(A7,'INPUT CE'!$A$8:$E$621,5,FALSE)</f>
        <v>0</v>
      </c>
      <c r="E7" s="67">
        <f>VLOOKUP(A7,'INPUT CE'!$A$8:$H$621,6,FALSE)</f>
        <v>0</v>
      </c>
      <c r="F7">
        <f>VLOOKUP(A7,'INPUT CE'!$A$8:$H$621,8,FALSE)</f>
        <v>0</v>
      </c>
    </row>
    <row r="8" spans="1:6" x14ac:dyDescent="0.25">
      <c r="A8" t="s">
        <v>934</v>
      </c>
      <c r="B8" t="s">
        <v>492</v>
      </c>
      <c r="C8" s="67">
        <f>VLOOKUP(A8,'INPUT CE'!$A$8:$D$621,4,FALSE)</f>
        <v>0</v>
      </c>
      <c r="D8" s="67">
        <f>VLOOKUP(A8,'INPUT CE'!$A$8:$E$621,5,FALSE)</f>
        <v>0</v>
      </c>
      <c r="E8" s="67">
        <f>VLOOKUP(A8,'INPUT CE'!$A$8:$H$621,6,FALSE)</f>
        <v>0</v>
      </c>
      <c r="F8">
        <f>VLOOKUP(A8,'INPUT CE'!$A$8:$H$621,8,FALSE)</f>
        <v>0</v>
      </c>
    </row>
    <row r="9" spans="1:6" x14ac:dyDescent="0.25">
      <c r="A9" t="s">
        <v>938</v>
      </c>
      <c r="B9" t="s">
        <v>493</v>
      </c>
      <c r="C9" s="67">
        <f>VLOOKUP(A9,'INPUT CE'!$A$8:$D$621,4,FALSE)</f>
        <v>0</v>
      </c>
      <c r="D9" s="67">
        <f>VLOOKUP(A9,'INPUT CE'!$A$8:$E$621,5,FALSE)</f>
        <v>0</v>
      </c>
      <c r="E9" s="67">
        <f>VLOOKUP(A9,'INPUT CE'!$A$8:$H$621,6,FALSE)</f>
        <v>0</v>
      </c>
      <c r="F9">
        <f>VLOOKUP(A9,'INPUT CE'!$A$8:$H$621,8,FALSE)</f>
        <v>0</v>
      </c>
    </row>
    <row r="10" spans="1:6" x14ac:dyDescent="0.25">
      <c r="A10" t="s">
        <v>940</v>
      </c>
      <c r="B10" t="s">
        <v>494</v>
      </c>
      <c r="C10" s="67">
        <f>VLOOKUP(A10,'INPUT CE'!$A$8:$D$621,4,FALSE)</f>
        <v>0</v>
      </c>
      <c r="D10" s="67">
        <f>VLOOKUP(A10,'INPUT CE'!$A$8:$E$621,5,FALSE)</f>
        <v>0</v>
      </c>
      <c r="E10" s="67">
        <f>VLOOKUP(A10,'INPUT CE'!$A$8:$H$621,6,FALSE)</f>
        <v>0</v>
      </c>
      <c r="F10">
        <f>VLOOKUP(A10,'INPUT CE'!$A$8:$H$621,8,FALSE)</f>
        <v>0</v>
      </c>
    </row>
    <row r="11" spans="1:6" x14ac:dyDescent="0.25">
      <c r="A11" t="s">
        <v>946</v>
      </c>
      <c r="B11" t="s">
        <v>495</v>
      </c>
      <c r="C11" s="67">
        <f>VLOOKUP(A11,'INPUT CE'!$A$8:$D$621,4,FALSE)</f>
        <v>0</v>
      </c>
      <c r="D11" s="67">
        <f>VLOOKUP(A11,'INPUT CE'!$A$8:$E$621,5,FALSE)</f>
        <v>0</v>
      </c>
      <c r="E11" s="67">
        <f>VLOOKUP(A11,'INPUT CE'!$A$8:$H$621,6,FALSE)</f>
        <v>0</v>
      </c>
      <c r="F11">
        <f>VLOOKUP(A11,'INPUT CE'!$A$8:$H$621,8,FALSE)</f>
        <v>0</v>
      </c>
    </row>
    <row r="12" spans="1:6" x14ac:dyDescent="0.25">
      <c r="A12" t="s">
        <v>948</v>
      </c>
      <c r="B12" t="s">
        <v>496</v>
      </c>
      <c r="C12" s="67">
        <f>VLOOKUP(A12,'INPUT CE'!$A$8:$D$621,4,FALSE)</f>
        <v>0</v>
      </c>
      <c r="D12" s="67">
        <f>VLOOKUP(A12,'INPUT CE'!$A$8:$E$621,5,FALSE)</f>
        <v>0</v>
      </c>
      <c r="E12" s="67">
        <f>VLOOKUP(A12,'INPUT CE'!$A$8:$H$621,6,FALSE)</f>
        <v>0</v>
      </c>
      <c r="F12">
        <f>VLOOKUP(A12,'INPUT CE'!$A$8:$H$621,8,FALSE)</f>
        <v>0</v>
      </c>
    </row>
    <row r="13" spans="1:6" x14ac:dyDescent="0.25">
      <c r="A13" t="s">
        <v>976</v>
      </c>
      <c r="B13" t="s">
        <v>497</v>
      </c>
      <c r="C13" s="67">
        <f>VLOOKUP(A13,'INPUT CE'!$A$8:$D$621,4,FALSE)</f>
        <v>0</v>
      </c>
      <c r="D13" s="67">
        <f>VLOOKUP(A13,'INPUT CE'!$A$8:$E$621,5,FALSE)</f>
        <v>0</v>
      </c>
      <c r="E13" s="67">
        <f>VLOOKUP(A13,'INPUT CE'!$A$8:$H$621,6,FALSE)</f>
        <v>0</v>
      </c>
      <c r="F13">
        <f>VLOOKUP(A13,'INPUT CE'!$A$8:$H$621,8,FALSE)</f>
        <v>0</v>
      </c>
    </row>
    <row r="14" spans="1:6" x14ac:dyDescent="0.25">
      <c r="A14" t="s">
        <v>1008</v>
      </c>
      <c r="B14" t="s">
        <v>498</v>
      </c>
      <c r="C14" s="67">
        <f>VLOOKUP(A14,'INPUT CE'!$A$8:$D$621,4,FALSE)</f>
        <v>0</v>
      </c>
      <c r="D14" s="67">
        <f>VLOOKUP(A14,'INPUT CE'!$A$8:$E$621,5,FALSE)</f>
        <v>0</v>
      </c>
      <c r="E14" s="67">
        <f>VLOOKUP(A14,'INPUT CE'!$A$8:$H$621,6,FALSE)</f>
        <v>0</v>
      </c>
      <c r="F14">
        <f>VLOOKUP(A14,'INPUT CE'!$A$8:$H$621,8,FALSE)</f>
        <v>0</v>
      </c>
    </row>
    <row r="15" spans="1:6" x14ac:dyDescent="0.25">
      <c r="A15" t="s">
        <v>1012</v>
      </c>
      <c r="B15" t="s">
        <v>499</v>
      </c>
      <c r="C15" s="67">
        <f>VLOOKUP(A15,'INPUT CE'!$A$8:$D$621,4,FALSE)</f>
        <v>0</v>
      </c>
      <c r="D15" s="67">
        <f>VLOOKUP(A15,'INPUT CE'!$A$8:$E$621,5,FALSE)</f>
        <v>0</v>
      </c>
      <c r="E15" s="67">
        <f>VLOOKUP(A15,'INPUT CE'!$A$8:$H$621,6,FALSE)</f>
        <v>0</v>
      </c>
      <c r="F15">
        <f>VLOOKUP(A15,'INPUT CE'!$A$8:$H$621,8,FALSE)</f>
        <v>0</v>
      </c>
    </row>
    <row r="16" spans="1:6" x14ac:dyDescent="0.25">
      <c r="A16" t="s">
        <v>1040</v>
      </c>
      <c r="B16" t="s">
        <v>500</v>
      </c>
      <c r="C16" s="67">
        <f>VLOOKUP(A16,'INPUT CE'!$A$8:$D$621,4,FALSE)</f>
        <v>0</v>
      </c>
      <c r="D16" s="67">
        <f>VLOOKUP(A16,'INPUT CE'!$A$8:$E$621,5,FALSE)</f>
        <v>0</v>
      </c>
      <c r="E16" s="67">
        <f>VLOOKUP(A16,'INPUT CE'!$A$8:$H$621,6,FALSE)</f>
        <v>0</v>
      </c>
      <c r="F16">
        <f>VLOOKUP(A16,'INPUT CE'!$A$8:$H$621,8,FALSE)</f>
        <v>0</v>
      </c>
    </row>
    <row r="17" spans="1:6" x14ac:dyDescent="0.25">
      <c r="A17" t="s">
        <v>1044</v>
      </c>
      <c r="B17" t="s">
        <v>501</v>
      </c>
      <c r="C17" s="67">
        <f>VLOOKUP(A17,'INPUT CE'!$A$8:$D$621,4,FALSE)</f>
        <v>0</v>
      </c>
      <c r="D17" s="67">
        <f>VLOOKUP(A17,'INPUT CE'!$A$8:$E$621,5,FALSE)</f>
        <v>0</v>
      </c>
      <c r="E17" s="67">
        <f>VLOOKUP(A17,'INPUT CE'!$A$8:$H$621,6,FALSE)</f>
        <v>0</v>
      </c>
      <c r="F17">
        <f>VLOOKUP(A17,'INPUT CE'!$A$8:$H$621,8,FALSE)</f>
        <v>0</v>
      </c>
    </row>
    <row r="18" spans="1:6" x14ac:dyDescent="0.25">
      <c r="A18" t="s">
        <v>1054</v>
      </c>
      <c r="B18" t="s">
        <v>502</v>
      </c>
      <c r="C18" s="67">
        <f>VLOOKUP(A18,'INPUT CE'!$A$8:$D$621,4,FALSE)</f>
        <v>0</v>
      </c>
      <c r="D18" s="67">
        <f>VLOOKUP(A18,'INPUT CE'!$A$8:$E$621,5,FALSE)</f>
        <v>0</v>
      </c>
      <c r="E18" s="67">
        <f>VLOOKUP(A18,'INPUT CE'!$A$8:$H$621,6,FALSE)</f>
        <v>0</v>
      </c>
      <c r="F18">
        <f>VLOOKUP(A18,'INPUT CE'!$A$8:$H$621,8,FALSE)</f>
        <v>0</v>
      </c>
    </row>
    <row r="19" spans="1:6" x14ac:dyDescent="0.25">
      <c r="A19" t="s">
        <v>1058</v>
      </c>
      <c r="B19" t="s">
        <v>503</v>
      </c>
      <c r="C19" s="67">
        <f>VLOOKUP(A19,'INPUT CE'!$A$8:$D$621,4,FALSE)</f>
        <v>0</v>
      </c>
      <c r="D19" s="67">
        <f>VLOOKUP(A19,'INPUT CE'!$A$8:$E$621,5,FALSE)</f>
        <v>0</v>
      </c>
      <c r="E19" s="67">
        <f>VLOOKUP(A19,'INPUT CE'!$A$8:$H$621,6,FALSE)</f>
        <v>0</v>
      </c>
      <c r="F19">
        <f>VLOOKUP(A19,'INPUT CE'!$A$8:$H$621,8,FALSE)</f>
        <v>0</v>
      </c>
    </row>
    <row r="20" spans="1:6" x14ac:dyDescent="0.25">
      <c r="A20" t="s">
        <v>1066</v>
      </c>
      <c r="B20" t="s">
        <v>504</v>
      </c>
      <c r="C20" s="67">
        <f>VLOOKUP(A20,'INPUT CE'!$A$8:$D$621,4,FALSE)</f>
        <v>0</v>
      </c>
      <c r="D20" s="67">
        <f>VLOOKUP(A20,'INPUT CE'!$A$8:$E$621,5,FALSE)</f>
        <v>0</v>
      </c>
      <c r="E20" s="67">
        <f>VLOOKUP(A20,'INPUT CE'!$A$8:$H$621,6,FALSE)</f>
        <v>0</v>
      </c>
      <c r="F20">
        <f>VLOOKUP(A20,'INPUT CE'!$A$8:$H$621,8,FALSE)</f>
        <v>0</v>
      </c>
    </row>
    <row r="21" spans="1:6" x14ac:dyDescent="0.25">
      <c r="A21" t="s">
        <v>1070</v>
      </c>
      <c r="B21" t="s">
        <v>505</v>
      </c>
      <c r="C21" s="67">
        <f>VLOOKUP(A21,'INPUT CE'!$A$8:$D$621,4,FALSE)</f>
        <v>0</v>
      </c>
      <c r="D21" s="67">
        <f>VLOOKUP(A21,'INPUT CE'!$A$8:$E$621,5,FALSE)</f>
        <v>0</v>
      </c>
      <c r="E21" s="67">
        <f>VLOOKUP(A21,'INPUT CE'!$A$8:$H$621,6,FALSE)</f>
        <v>0</v>
      </c>
      <c r="F21">
        <f>VLOOKUP(A21,'INPUT CE'!$A$8:$H$621,8,FALSE)</f>
        <v>0</v>
      </c>
    </row>
    <row r="22" spans="1:6" x14ac:dyDescent="0.25">
      <c r="A22" t="s">
        <v>1080</v>
      </c>
      <c r="B22" t="s">
        <v>506</v>
      </c>
      <c r="C22" s="67">
        <f>VLOOKUP(A22,'INPUT CE'!$A$8:$D$621,4,FALSE)</f>
        <v>0</v>
      </c>
      <c r="D22" s="67">
        <f>VLOOKUP(A22,'INPUT CE'!$A$8:$E$621,5,FALSE)</f>
        <v>0</v>
      </c>
      <c r="E22" s="67">
        <f>VLOOKUP(A22,'INPUT CE'!$A$8:$H$621,6,FALSE)</f>
        <v>0</v>
      </c>
      <c r="F22">
        <f>VLOOKUP(A22,'INPUT CE'!$A$8:$H$621,8,FALSE)</f>
        <v>0</v>
      </c>
    </row>
    <row r="23" spans="1:6" x14ac:dyDescent="0.25">
      <c r="A23" t="s">
        <v>1094</v>
      </c>
      <c r="B23" t="s">
        <v>507</v>
      </c>
      <c r="C23" s="67">
        <f>VLOOKUP(A23,'INPUT CE'!$A$8:$D$621,4,FALSE)</f>
        <v>0</v>
      </c>
      <c r="D23" s="67">
        <f>VLOOKUP(A23,'INPUT CE'!$A$8:$E$621,5,FALSE)</f>
        <v>0</v>
      </c>
      <c r="E23" s="67">
        <f>VLOOKUP(A23,'INPUT CE'!$A$8:$H$621,6,FALSE)</f>
        <v>0</v>
      </c>
      <c r="F23">
        <f>VLOOKUP(A23,'INPUT CE'!$A$8:$H$621,8,FALSE)</f>
        <v>0</v>
      </c>
    </row>
    <row r="24" spans="1:6" x14ac:dyDescent="0.25">
      <c r="A24" t="s">
        <v>1194</v>
      </c>
      <c r="B24" t="s">
        <v>508</v>
      </c>
      <c r="C24" s="67">
        <f>VLOOKUP(A24,'INPUT CE'!$A$8:$D$621,4,FALSE)</f>
        <v>0</v>
      </c>
      <c r="D24" s="67">
        <f>VLOOKUP(A24,'INPUT CE'!$A$8:$E$621,5,FALSE)</f>
        <v>0</v>
      </c>
      <c r="E24" s="67">
        <f>VLOOKUP(A24,'INPUT CE'!$A$8:$H$621,6,FALSE)</f>
        <v>0</v>
      </c>
      <c r="F24">
        <f>VLOOKUP(A24,'INPUT CE'!$A$8:$H$621,8,FALSE)</f>
        <v>0</v>
      </c>
    </row>
    <row r="25" spans="1:6" x14ac:dyDescent="0.25">
      <c r="A25" t="s">
        <v>1196</v>
      </c>
      <c r="B25" t="s">
        <v>509</v>
      </c>
      <c r="C25" s="67">
        <f>VLOOKUP(A25,'INPUT CE'!$A$8:$D$621,4,FALSE)</f>
        <v>0</v>
      </c>
      <c r="D25" s="67">
        <f>VLOOKUP(A25,'INPUT CE'!$A$8:$E$621,5,FALSE)</f>
        <v>0</v>
      </c>
      <c r="E25" s="67">
        <f>VLOOKUP(A25,'INPUT CE'!$A$8:$H$621,6,FALSE)</f>
        <v>0</v>
      </c>
      <c r="F25">
        <f>VLOOKUP(A25,'INPUT CE'!$A$8:$H$621,8,FALSE)</f>
        <v>0</v>
      </c>
    </row>
    <row r="26" spans="1:6" x14ac:dyDescent="0.25">
      <c r="A26" t="s">
        <v>1200</v>
      </c>
      <c r="B26" t="s">
        <v>510</v>
      </c>
      <c r="C26" s="67">
        <f>VLOOKUP(A26,'INPUT CE'!$A$8:$D$621,4,FALSE)</f>
        <v>0</v>
      </c>
      <c r="D26" s="67">
        <f>VLOOKUP(A26,'INPUT CE'!$A$8:$E$621,5,FALSE)</f>
        <v>0</v>
      </c>
      <c r="E26" s="67">
        <f>VLOOKUP(A26,'INPUT CE'!$A$8:$H$621,6,FALSE)</f>
        <v>0</v>
      </c>
      <c r="F26">
        <f>VLOOKUP(A26,'INPUT CE'!$A$8:$H$621,8,FALSE)</f>
        <v>0</v>
      </c>
    </row>
  </sheetData>
  <sheetProtection sheet="1" objects="1" scenarios="1"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INPUT CE</vt:lpstr>
      <vt:lpstr>Obiettivo programmato costo</vt:lpstr>
      <vt:lpstr>appoggio</vt:lpstr>
      <vt:lpstr>conti</vt:lpstr>
      <vt:lpstr>'INPUT CE'!Titoli_stampa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2022-10-12T14:20:22Z</dcterms:modified>
</cp:coreProperties>
</file>